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520" activeTab="0"/>
  </bookViews>
  <sheets>
    <sheet name="Баланс" sheetId="1" r:id="rId1"/>
    <sheet name="Анализ" sheetId="2" r:id="rId2"/>
    <sheet name="краткая структура" sheetId="3" r:id="rId3"/>
    <sheet name="Фин" sheetId="4" r:id="rId4"/>
    <sheet name="Факторы" sheetId="5" r:id="rId5"/>
    <sheet name="коэффициенты" sheetId="6" r:id="rId6"/>
  </sheets>
  <definedNames>
    <definedName name="К110">'Баланс'!$E$7</definedName>
    <definedName name="К120">'Баланс'!$E$8</definedName>
    <definedName name="К130">'Баланс'!$E$9</definedName>
    <definedName name="К140">'Баланс'!$E$10</definedName>
    <definedName name="К150">'Баланс'!$E$11</definedName>
    <definedName name="К190">'Баланс'!$E$12</definedName>
    <definedName name="К1норм">'Анализ'!$D$135</definedName>
    <definedName name="К210">'Баланс'!$E$15</definedName>
    <definedName name="К211">'Баланс'!$E$16</definedName>
    <definedName name="К212">'Баланс'!$E$17</definedName>
    <definedName name="К213">'Баланс'!$E$18</definedName>
    <definedName name="К214">'Баланс'!$E$19</definedName>
    <definedName name="К220">'Баланс'!$E$20</definedName>
    <definedName name="К230">'Баланс'!$E$21</definedName>
    <definedName name="К240">'Баланс'!$E$22</definedName>
    <definedName name="К250">'Баланс'!$E$23</definedName>
    <definedName name="К251">'Баланс'!$E$24</definedName>
    <definedName name="К252">'Баланс'!$E$25</definedName>
    <definedName name="К253">'Баланс'!$E$26</definedName>
    <definedName name="К254">'Баланс'!$E$27</definedName>
    <definedName name="К260">'Баланс'!$E$28</definedName>
    <definedName name="К270">'Баланс'!$E$29</definedName>
    <definedName name="К280">'Баланс'!$E$30</definedName>
    <definedName name="К290">'Баланс'!$E$31</definedName>
    <definedName name="К299">'Баланс'!$E$33</definedName>
    <definedName name="К2норм">'Анализ'!$D$136</definedName>
    <definedName name="К390">'Баланс'!$E$33</definedName>
    <definedName name="К510">'Баланс'!$E$41</definedName>
    <definedName name="К515">'Баланс'!$E$42</definedName>
    <definedName name="К520">'Баланс'!$E$43</definedName>
    <definedName name="К530">'Баланс'!$E$44</definedName>
    <definedName name="К540">'Баланс'!$E$45</definedName>
    <definedName name="К550">'Баланс'!$E$46</definedName>
    <definedName name="К560">'Баланс'!$E$47</definedName>
    <definedName name="К590">'Баланс'!$E$48</definedName>
    <definedName name="К610">'Баланс'!$E$51</definedName>
    <definedName name="К620">'Баланс'!$E$52</definedName>
    <definedName name="К630">'Баланс'!$E$53</definedName>
    <definedName name="К640">'Баланс'!$E$54</definedName>
    <definedName name="К650">'Баланс'!$E$55</definedName>
    <definedName name="К660">'Баланс'!$E$56</definedName>
    <definedName name="К690">'Баланс'!$E$57</definedName>
    <definedName name="К710">'Баланс'!$E$60</definedName>
    <definedName name="К720">'Баланс'!$E$61</definedName>
    <definedName name="К730">'Баланс'!$E$62</definedName>
    <definedName name="К731">'Баланс'!$E$63</definedName>
    <definedName name="К732">'Баланс'!$E$64</definedName>
    <definedName name="К733">'Баланс'!$E$65</definedName>
    <definedName name="К734">'Баланс'!$E$66</definedName>
    <definedName name="К735">'Баланс'!$E$67</definedName>
    <definedName name="К736">'Баланс'!$E$68</definedName>
    <definedName name="К737">'Баланс'!$E$69</definedName>
    <definedName name="К740">'Баланс'!$E$70</definedName>
    <definedName name="К790">'Баланс'!$E$71</definedName>
    <definedName name="К890">'Баланс'!$E$73</definedName>
    <definedName name="Н110">'Баланс'!$D$7</definedName>
    <definedName name="Н120">'Баланс'!$D$8</definedName>
    <definedName name="Н130">'Баланс'!$D$9</definedName>
    <definedName name="Н140">'Баланс'!$D$10</definedName>
    <definedName name="Н150">'Баланс'!$D$11</definedName>
    <definedName name="Н190">'Баланс'!$D$12</definedName>
    <definedName name="Н210">'Баланс'!$D$15</definedName>
    <definedName name="Н211">'Баланс'!$D$16</definedName>
    <definedName name="Н212">'Баланс'!$D$17</definedName>
    <definedName name="Н213">'Баланс'!$D$18</definedName>
    <definedName name="Н214">'Баланс'!$D$19</definedName>
    <definedName name="Н220">'Баланс'!$D$20</definedName>
    <definedName name="Н230">'Баланс'!$D$21</definedName>
    <definedName name="Н240">'Баланс'!$D$22</definedName>
    <definedName name="Н250">'Баланс'!$D$23</definedName>
    <definedName name="Н251">'Баланс'!$D$24</definedName>
    <definedName name="Н252">'Баланс'!$D$25</definedName>
    <definedName name="Н253">'Баланс'!$D$26</definedName>
    <definedName name="Н254">'Баланс'!$D$27</definedName>
    <definedName name="Н260">'Баланс'!$D$28</definedName>
    <definedName name="Н270">'Баланс'!$D$29</definedName>
    <definedName name="Н280">'Баланс'!$D$30</definedName>
    <definedName name="Н290">'Баланс'!$D$31</definedName>
    <definedName name="Н299">'Баланс'!$D$33</definedName>
    <definedName name="Н390">'Баланс'!$D$33</definedName>
    <definedName name="Н510">'Баланс'!$D$41</definedName>
    <definedName name="Н515">'Баланс'!$D$42</definedName>
    <definedName name="Н520">'Баланс'!$D$43</definedName>
    <definedName name="Н530">'Баланс'!$D$44</definedName>
    <definedName name="Н540">'Баланс'!$D$45</definedName>
    <definedName name="Н550">'Баланс'!$D$46</definedName>
    <definedName name="Н560">'Баланс'!$D$47</definedName>
    <definedName name="Н590">'Баланс'!$D$48</definedName>
    <definedName name="Н610">'Баланс'!$D$51</definedName>
    <definedName name="Н620">'Баланс'!$D$52</definedName>
    <definedName name="Н630">'Баланс'!$D$53</definedName>
    <definedName name="Н640">'Баланс'!$D$54</definedName>
    <definedName name="Н650">'Баланс'!$D$55</definedName>
    <definedName name="Н660">'Баланс'!$D$56</definedName>
    <definedName name="Н690">'Баланс'!$D$57</definedName>
    <definedName name="Н710">'Баланс'!$D$60</definedName>
    <definedName name="Н720">'Баланс'!$D$61</definedName>
    <definedName name="Н730">'Баланс'!$D$62</definedName>
    <definedName name="Н731">'Баланс'!$D$63</definedName>
    <definedName name="Н732">'Баланс'!$D$64</definedName>
    <definedName name="Н733">'Баланс'!$D$65</definedName>
    <definedName name="Н734">'Баланс'!$D$66</definedName>
    <definedName name="Н735">'Баланс'!$D$67</definedName>
    <definedName name="Н736">'Баланс'!$D$68</definedName>
    <definedName name="Н737">'Баланс'!$D$69</definedName>
    <definedName name="Н740">'Баланс'!$D$70</definedName>
    <definedName name="Н790">'Баланс'!$D$71</definedName>
    <definedName name="Н890">'Баланс'!$D$73</definedName>
    <definedName name="_xlnm.Print_Area" localSheetId="1">'Анализ'!$A$1:$I$148</definedName>
    <definedName name="_xlnm.Print_Area" localSheetId="0">'Баланс'!$A$1:$F$137</definedName>
    <definedName name="ОК010">'Баланс'!$E$79</definedName>
    <definedName name="ОК020">'Баланс'!$E$80</definedName>
    <definedName name="ОК030">'Баланс'!$E$81</definedName>
    <definedName name="ОК031">'Баланс'!$E$82</definedName>
    <definedName name="ОК040">'Баланс'!$E$83</definedName>
    <definedName name="ОК050">'Баланс'!$E$84</definedName>
    <definedName name="ОК060">'Баланс'!$E$85</definedName>
    <definedName name="ОК070">'Баланс'!$E$86</definedName>
    <definedName name="ОК080">'Баланс'!$E$89</definedName>
    <definedName name="ОК090">'Баланс'!$E$90</definedName>
    <definedName name="ОК100">'Баланс'!$E$91</definedName>
    <definedName name="ОК101">'Баланс'!$E$92</definedName>
    <definedName name="ОК102">'Баланс'!$E$93</definedName>
    <definedName name="ОК103">'Баланс'!$E$94</definedName>
    <definedName name="ОК104">'Баланс'!$E$95</definedName>
    <definedName name="ОК110">'Баланс'!$E$96</definedName>
    <definedName name="ОК111">'Баланс'!$E$97</definedName>
    <definedName name="ОК112">'Баланс'!$E$98</definedName>
    <definedName name="ОК113">'Баланс'!$E$99</definedName>
    <definedName name="ОК120">'Баланс'!$E$100</definedName>
    <definedName name="ОК130">'Баланс'!$E$101</definedName>
    <definedName name="ОК140">'Баланс'!$E$104</definedName>
    <definedName name="ОК150">'Баланс'!$E$105</definedName>
    <definedName name="ОК160">'Баланс'!$E$106</definedName>
    <definedName name="ОК170">'Баланс'!$E$107</definedName>
    <definedName name="ОК171">'Баланс'!$E$118</definedName>
    <definedName name="ОК172">'Баланс'!$E$119</definedName>
    <definedName name="ОК173">'Баланс'!$E$120</definedName>
    <definedName name="ОК174">'Баланс'!$E$121</definedName>
    <definedName name="ОК175">'Баланс'!$E$122</definedName>
    <definedName name="ОК176">'Баланс'!$E$123</definedName>
    <definedName name="ОК177">'Баланс'!$E$124</definedName>
    <definedName name="ОК178">'Баланс'!$E$125</definedName>
    <definedName name="ОК180">'Баланс'!$E$108</definedName>
    <definedName name="ОК190">'Баланс'!$E$109</definedName>
    <definedName name="ОК200">'Баланс'!$E$111</definedName>
    <definedName name="ОК210">'Баланс'!$E$112</definedName>
    <definedName name="ОК220">'Баланс'!$E$113</definedName>
    <definedName name="ОК230">'Баланс'!$E$114</definedName>
    <definedName name="ОК240">'Баланс'!$E$115</definedName>
    <definedName name="ОН010">'Баланс'!$D$79</definedName>
    <definedName name="ОН020">'Баланс'!$D$80</definedName>
    <definedName name="ОН030">'Баланс'!$D$81</definedName>
    <definedName name="ОН031">'Баланс'!$D$82</definedName>
    <definedName name="ОН040">'Баланс'!$D$83</definedName>
    <definedName name="ОН050">'Баланс'!$D$84</definedName>
    <definedName name="ОН060">'Баланс'!$D$85</definedName>
    <definedName name="ОН070">'Баланс'!$D$86</definedName>
    <definedName name="ОН080">'Баланс'!$D$89</definedName>
    <definedName name="ОН090">'Баланс'!$D$90</definedName>
    <definedName name="ОН100">'Баланс'!$D$91</definedName>
    <definedName name="ОН101">'Баланс'!$D$92</definedName>
    <definedName name="ОН102">'Баланс'!$D$93</definedName>
    <definedName name="ОН103">'Баланс'!$D$94</definedName>
    <definedName name="ОН104">'Баланс'!$D$95</definedName>
    <definedName name="ОН110">'Баланс'!$D$96</definedName>
    <definedName name="ОН111">'Баланс'!$D$97</definedName>
    <definedName name="ОН112">'Баланс'!$D$98</definedName>
    <definedName name="ОН113">'Баланс'!$D$99</definedName>
    <definedName name="ОН120">'Баланс'!$D$100</definedName>
    <definedName name="ОН130">'Баланс'!$D$101</definedName>
    <definedName name="ОН140">'Баланс'!$D$104</definedName>
    <definedName name="ОН150">'Баланс'!$D$105</definedName>
    <definedName name="ОН160">'Баланс'!$D$106</definedName>
    <definedName name="ОН170">'Баланс'!$D$107</definedName>
    <definedName name="ОН171">'Баланс'!$D$118</definedName>
    <definedName name="ОН172">'Баланс'!$D$119</definedName>
    <definedName name="ОН173">'Баланс'!$D$120</definedName>
    <definedName name="ОН174">'Баланс'!$D$121</definedName>
    <definedName name="ОН175">'Баланс'!$D$122</definedName>
    <definedName name="ОН176">'Баланс'!$D$123</definedName>
    <definedName name="ОН177">'Баланс'!$D$124</definedName>
    <definedName name="ОН178">'Баланс'!$D$125</definedName>
    <definedName name="ОН180">'Баланс'!$D$108</definedName>
    <definedName name="ОН190">'Баланс'!$D$109</definedName>
    <definedName name="ОН200">'Баланс'!$D$111</definedName>
    <definedName name="ОН210">'Баланс'!$D$112</definedName>
    <definedName name="ОН220">'Баланс'!$D$113</definedName>
    <definedName name="ОН230">'Баланс'!$D$114</definedName>
    <definedName name="ОН240">'Баланс'!$D$115</definedName>
  </definedNames>
  <calcPr fullCalcOnLoad="1"/>
</workbook>
</file>

<file path=xl/sharedStrings.xml><?xml version="1.0" encoding="utf-8"?>
<sst xmlns="http://schemas.openxmlformats.org/spreadsheetml/2006/main" count="253" uniqueCount="225">
  <si>
    <t>Прочие внеоборотные активы</t>
  </si>
  <si>
    <t>I. ВНЕОБОРОТНЫЕ АКТИВЫ</t>
  </si>
  <si>
    <t>II. ОБОРОТНЫЕ АКТИВЫ</t>
  </si>
  <si>
    <t>Прочие оборотные активы</t>
  </si>
  <si>
    <t>А К Т И В Ы</t>
  </si>
  <si>
    <t>П А С С И В Ы</t>
  </si>
  <si>
    <t>ИТОГО по разделу V</t>
  </si>
  <si>
    <t>Кредиторская задолженность</t>
  </si>
  <si>
    <t>Управленческие расходы</t>
  </si>
  <si>
    <t>на</t>
  </si>
  <si>
    <t>ОТЧЕТ О ПРИБЫЛЯХ И УБЫТКАХ</t>
  </si>
  <si>
    <t>Оборачиваемость, в днях</t>
  </si>
  <si>
    <t>Показатель</t>
  </si>
  <si>
    <t>На начало периода</t>
  </si>
  <si>
    <t>На конец периода</t>
  </si>
  <si>
    <t>Отклонение</t>
  </si>
  <si>
    <t>средний остаток, с учетом косвенных налогов (сч.18 и 19)</t>
  </si>
  <si>
    <t>Итого по разделу I</t>
  </si>
  <si>
    <t>Итого по разделу II</t>
  </si>
  <si>
    <t>%</t>
  </si>
  <si>
    <t>норматив</t>
  </si>
  <si>
    <t>Итого по разделу III</t>
  </si>
  <si>
    <t>Итого по разделу IV</t>
  </si>
  <si>
    <r>
      <t>БАЛАНС</t>
    </r>
    <r>
      <rPr>
        <sz val="8"/>
        <rFont val="Times New Roman Cyr"/>
        <family val="1"/>
      </rPr>
      <t xml:space="preserve">  (сумма строк 190 + 290)</t>
    </r>
  </si>
  <si>
    <r>
      <t>Нематериальные активы</t>
    </r>
    <r>
      <rPr>
        <sz val="8"/>
        <rFont val="Times New Roman Cyr"/>
        <family val="1"/>
      </rPr>
      <t xml:space="preserve"> (04, 05)</t>
    </r>
  </si>
  <si>
    <t>Таблица 1</t>
  </si>
  <si>
    <t>Таблица 4</t>
  </si>
  <si>
    <t>Таблица 5</t>
  </si>
  <si>
    <t>АКТИВ</t>
  </si>
  <si>
    <t>ПАССИВ</t>
  </si>
  <si>
    <t>Баланс</t>
  </si>
  <si>
    <t>Показатели ОБОРАЧИВАЕМОСТИ</t>
  </si>
  <si>
    <t>Показатель МИНФИНА</t>
  </si>
  <si>
    <t>Показатели ФИНАНСОВОЙ УСТОЙЧИВОСТИ</t>
  </si>
  <si>
    <t>за прошлый период</t>
  </si>
  <si>
    <t>за
отчетный
период</t>
  </si>
  <si>
    <r>
      <t>Коэффициент восстановления платежеспособности</t>
    </r>
    <r>
      <rPr>
        <sz val="8"/>
        <rFont val="Times New Roman Cyr"/>
        <family val="1"/>
      </rPr>
      <t>*
К3а</t>
    </r>
    <r>
      <rPr>
        <sz val="9"/>
        <rFont val="Times New Roman Cyr"/>
        <family val="1"/>
      </rPr>
      <t xml:space="preserve">=(К1ф+6/Т(К1ф-К1н))/К1норм </t>
    </r>
    <r>
      <rPr>
        <b/>
        <i/>
        <sz val="9"/>
        <rFont val="Times New Roman Cyr"/>
        <family val="1"/>
      </rPr>
      <t>К3а норм.&gt;1</t>
    </r>
  </si>
  <si>
    <r>
      <t>Коэффициент утраты платежеспособности</t>
    </r>
    <r>
      <rPr>
        <sz val="8"/>
        <rFont val="Times New Roman Cyr"/>
        <family val="1"/>
      </rPr>
      <t>**
К3б</t>
    </r>
    <r>
      <rPr>
        <sz val="9"/>
        <rFont val="Times New Roman Cyr"/>
        <family val="1"/>
      </rPr>
      <t xml:space="preserve">=(К1ф+3/Т(К1ф-К1н))/К1норм </t>
    </r>
    <r>
      <rPr>
        <b/>
        <i/>
        <sz val="9"/>
        <rFont val="Times New Roman Cyr"/>
        <family val="1"/>
      </rPr>
      <t>К3б норм.&gt;1</t>
    </r>
  </si>
  <si>
    <t>* Рассчитывается в случае, если хотябы один из коэффициентов (К1 или К2) меньше нормативного</t>
  </si>
  <si>
    <t>** Расчитывается в случае, когда оба коэффициента (и К1 и К2) не менее нормативного</t>
  </si>
  <si>
    <t xml:space="preserve"> </t>
  </si>
  <si>
    <r>
      <t>Основные средства</t>
    </r>
    <r>
      <rPr>
        <sz val="8"/>
        <rFont val="Times New Roman Cyr"/>
        <family val="1"/>
      </rPr>
      <t xml:space="preserve"> (01, 02)</t>
    </r>
  </si>
  <si>
    <r>
      <t>Доходные вложения в материальные ценности</t>
    </r>
    <r>
      <rPr>
        <sz val="8"/>
        <rFont val="Times New Roman Cyr"/>
        <family val="1"/>
      </rPr>
      <t xml:space="preserve"> (02, 03)</t>
    </r>
  </si>
  <si>
    <r>
      <t>Вложения во внеоборотные активы</t>
    </r>
    <r>
      <rPr>
        <sz val="8"/>
        <rFont val="Times New Roman Cyr"/>
        <family val="1"/>
      </rPr>
      <t xml:space="preserve"> (07, 08, 16, 60)</t>
    </r>
  </si>
  <si>
    <t>Запасы и затраты</t>
  </si>
  <si>
    <r>
      <t xml:space="preserve">Налоги по приобретенным ценностям </t>
    </r>
    <r>
      <rPr>
        <sz val="8"/>
        <rFont val="Times New Roman Cyr"/>
        <family val="1"/>
      </rPr>
      <t>(18, 76)</t>
    </r>
  </si>
  <si>
    <r>
      <t xml:space="preserve">Готовая продукция и товары </t>
    </r>
    <r>
      <rPr>
        <sz val="8"/>
        <rFont val="Times New Roman Cyr"/>
        <family val="1"/>
      </rPr>
      <t>(40, 41, 43)</t>
    </r>
  </si>
  <si>
    <r>
      <t xml:space="preserve">Товары отгруженные, выполненные работы, оказанные услуги </t>
    </r>
    <r>
      <rPr>
        <sz val="8"/>
        <rFont val="Times New Roman Cyr"/>
        <family val="1"/>
      </rPr>
      <t>(45, 46)</t>
    </r>
  </si>
  <si>
    <t>Дебиторская задолженность</t>
  </si>
  <si>
    <r>
      <t>Финансовые вложения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(58, 59)</t>
    </r>
  </si>
  <si>
    <r>
      <t>Денежные средства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(50, 51, 52, 55, 57)</t>
    </r>
  </si>
  <si>
    <t>III. ИСТОЧНИК СОБСТВЕННЫХ СРЕДСТВ</t>
  </si>
  <si>
    <r>
      <t xml:space="preserve">Уставный фонд (капитал)  </t>
    </r>
    <r>
      <rPr>
        <sz val="8"/>
        <rFont val="Times New Roman Cyr"/>
        <family val="1"/>
      </rPr>
      <t>(80)</t>
    </r>
  </si>
  <si>
    <r>
      <t xml:space="preserve">Собственные акции (доли), выкупленные у акционеров (учредителей) </t>
    </r>
    <r>
      <rPr>
        <sz val="8"/>
        <rFont val="Times New Roman Cyr"/>
        <family val="1"/>
      </rPr>
      <t>(81)</t>
    </r>
  </si>
  <si>
    <r>
      <t>Резервный фонд</t>
    </r>
    <r>
      <rPr>
        <sz val="8"/>
        <rFont val="Times New Roman Cyr"/>
        <family val="1"/>
      </rPr>
      <t xml:space="preserve">  (82)</t>
    </r>
  </si>
  <si>
    <r>
      <t xml:space="preserve">Добавочный фонд </t>
    </r>
    <r>
      <rPr>
        <sz val="8"/>
        <rFont val="Times New Roman Cyr"/>
        <family val="1"/>
      </rPr>
      <t>(83)</t>
    </r>
  </si>
  <si>
    <r>
      <t xml:space="preserve">Целевое финансирование </t>
    </r>
    <r>
      <rPr>
        <sz val="8"/>
        <rFont val="Times New Roman Cyr"/>
        <family val="1"/>
      </rPr>
      <t>(86)</t>
    </r>
  </si>
  <si>
    <t>IV. ДОХОДЫ И РАСХОДЫ</t>
  </si>
  <si>
    <r>
      <t xml:space="preserve">Резервы предстоящих расходов </t>
    </r>
    <r>
      <rPr>
        <sz val="8"/>
        <rFont val="Times New Roman Cyr"/>
        <family val="1"/>
      </rPr>
      <t>(96)</t>
    </r>
  </si>
  <si>
    <r>
      <t xml:space="preserve">Расходы будущих периодов </t>
    </r>
    <r>
      <rPr>
        <sz val="8"/>
        <rFont val="Times New Roman Cyr"/>
        <family val="1"/>
      </rPr>
      <t>(97)</t>
    </r>
  </si>
  <si>
    <r>
      <t xml:space="preserve">Доходы будущих периодов </t>
    </r>
    <r>
      <rPr>
        <sz val="8"/>
        <rFont val="Times New Roman Cyr"/>
        <family val="1"/>
      </rPr>
      <t>(98)</t>
    </r>
  </si>
  <si>
    <r>
      <t>Прибыль отчетного года</t>
    </r>
    <r>
      <rPr>
        <sz val="8"/>
        <rFont val="Times New Roman Cyr"/>
        <family val="1"/>
      </rPr>
      <t xml:space="preserve">  (99)</t>
    </r>
  </si>
  <si>
    <r>
      <t>Убыток отчетного года</t>
    </r>
    <r>
      <rPr>
        <sz val="8"/>
        <rFont val="Times New Roman Cyr"/>
        <family val="1"/>
      </rPr>
      <t xml:space="preserve">  (99)</t>
    </r>
  </si>
  <si>
    <t>Прочие доходы и расходы</t>
  </si>
  <si>
    <r>
      <t xml:space="preserve">Нераспределенная прибыль </t>
    </r>
    <r>
      <rPr>
        <sz val="8"/>
        <rFont val="Times New Roman Cyr"/>
        <family val="1"/>
      </rPr>
      <t>(84)</t>
    </r>
  </si>
  <si>
    <r>
      <t>Непокрытый убыто</t>
    </r>
    <r>
      <rPr>
        <sz val="8"/>
        <rFont val="Times New Roman Cyr"/>
        <family val="1"/>
      </rPr>
      <t>к (84)</t>
    </r>
  </si>
  <si>
    <t>V. РАСЧЕТЫ</t>
  </si>
  <si>
    <r>
      <t>Краткосрочные кредиты и займы</t>
    </r>
    <r>
      <rPr>
        <sz val="8"/>
        <rFont val="Times New Roman Cyr"/>
        <family val="1"/>
      </rPr>
      <t xml:space="preserve"> (66)</t>
    </r>
  </si>
  <si>
    <r>
      <t>Долгосрочные кредиты и займы</t>
    </r>
    <r>
      <rPr>
        <sz val="8"/>
        <rFont val="Times New Roman Cyr"/>
        <family val="1"/>
      </rPr>
      <t xml:space="preserve"> (67)</t>
    </r>
  </si>
  <si>
    <t>Прочие виды обязательств</t>
  </si>
  <si>
    <t xml:space="preserve"> I. ДОХОДЫ И РАСХОДЫ ПО ВИДАМ ДЕЯТЕЛЬНОСТИ</t>
  </si>
  <si>
    <t>Расходы на реализацию</t>
  </si>
  <si>
    <t xml:space="preserve"> II. ОПЕРАЦИОННЫЕ ДОХОДЫ И РАСХОДЫ</t>
  </si>
  <si>
    <t xml:space="preserve"> III. ВНЕРЕАЛИЗАЦИОННЫЕ ДОХОДЫ И РАСХОДЫ</t>
  </si>
  <si>
    <t>Себестоимость реализованных товаров, работ услуг (покупная цена)</t>
  </si>
  <si>
    <t>Прибыль от реализации</t>
  </si>
  <si>
    <t>Операционные и внереализационные доходы, расходы</t>
  </si>
  <si>
    <t>Внеоборотные активы</t>
  </si>
  <si>
    <t>Готовая продукция</t>
  </si>
  <si>
    <t>Товары отгруженные</t>
  </si>
  <si>
    <t>Денежные средства</t>
  </si>
  <si>
    <t>Источник собственных средств</t>
  </si>
  <si>
    <t>Доходы и расходы</t>
  </si>
  <si>
    <t>Активы</t>
  </si>
  <si>
    <t>Пассивы</t>
  </si>
  <si>
    <t>число знаков после запятой</t>
  </si>
  <si>
    <t>единица представления</t>
  </si>
  <si>
    <r>
      <t>Доля долгосроч. заемного капитала в перманентном капитале</t>
    </r>
    <r>
      <rPr>
        <sz val="9"/>
        <rFont val="Times New Roman Cyr"/>
        <family val="1"/>
      </rPr>
      <t xml:space="preserve">
</t>
    </r>
    <r>
      <rPr>
        <sz val="8"/>
        <rFont val="Times New Roman Cyr"/>
        <family val="1"/>
      </rPr>
      <t>(коэф-т привлечения инвестиций)    720/(590+610+640+650+660+720)</t>
    </r>
  </si>
  <si>
    <t>прочие статьи раздела V. Расчеты</t>
  </si>
  <si>
    <t>Оборачиваемость расчитывается по отношению к выручке (для Оборотных активов) и по отношению к Совокупным издержкам (для Расчетов)</t>
  </si>
  <si>
    <r>
      <t xml:space="preserve">БАЛАНС </t>
    </r>
    <r>
      <rPr>
        <sz val="8"/>
        <rFont val="Times New Roman Cyr"/>
        <family val="1"/>
      </rPr>
      <t>(сумма строк 590 + 690 + 790)</t>
    </r>
  </si>
  <si>
    <t>Налоги</t>
  </si>
  <si>
    <r>
      <t>Коэффициент текущей ликвидности</t>
    </r>
    <r>
      <rPr>
        <sz val="8"/>
        <rFont val="Times New Roman Cyr"/>
        <family val="1"/>
      </rPr>
      <t xml:space="preserve">
К1</t>
    </r>
    <r>
      <rPr>
        <sz val="9"/>
        <rFont val="Times New Roman Cyr"/>
        <family val="1"/>
      </rPr>
      <t>=290/(790-720)</t>
    </r>
  </si>
  <si>
    <t>Рентабельность собственного капитала (п. 9 Таблица 2 / ср.знач.(590+640+650)</t>
  </si>
  <si>
    <r>
      <t>Коэффициент обеспеченности финансовых обязательств активами</t>
    </r>
    <r>
      <rPr>
        <sz val="8"/>
        <rFont val="Times New Roman Cyr"/>
        <family val="1"/>
      </rPr>
      <t xml:space="preserve">
К2</t>
    </r>
    <r>
      <rPr>
        <sz val="9"/>
        <rFont val="Times New Roman Cyr"/>
        <family val="1"/>
      </rPr>
      <t xml:space="preserve">=(790/890) </t>
    </r>
  </si>
  <si>
    <t>Показатели финансового состояния предприятия согласно ИНСТРУКЦИИ, утвержденной</t>
  </si>
  <si>
    <t>Постановлению Министерства Финансов РБ, Министерства Экономики РБ и</t>
  </si>
  <si>
    <t>Министерства Статистики и анализа Республики Беларусь</t>
  </si>
  <si>
    <t>от 14 мая 2004 года № 81/128/65</t>
  </si>
  <si>
    <t>Сельское хозяйство</t>
  </si>
  <si>
    <t>Транспорт</t>
  </si>
  <si>
    <t>Связь: почтовая</t>
  </si>
  <si>
    <t>Связь: электро и радио</t>
  </si>
  <si>
    <t>Строительство</t>
  </si>
  <si>
    <t>Торговля и общественное питание</t>
  </si>
  <si>
    <t>Материально-техническое снабжение и сбыт</t>
  </si>
  <si>
    <t>Связь: прочие виды</t>
  </si>
  <si>
    <t>ЖКХ: газоснабжение</t>
  </si>
  <si>
    <t>ЖКХ: прочие виды</t>
  </si>
  <si>
    <t>Наука и научное обслуживание</t>
  </si>
  <si>
    <t>Прочее</t>
  </si>
  <si>
    <t>Ктл</t>
  </si>
  <si>
    <t>Косс</t>
  </si>
  <si>
    <t>Промышленность: машиностроение и металлообработка</t>
  </si>
  <si>
    <t>Промышленность: станкостроительная и инструментальная</t>
  </si>
  <si>
    <t>Промышленность: производство средств связи</t>
  </si>
  <si>
    <t>Промышленность: производство стройматериалов</t>
  </si>
  <si>
    <t>Промышленность: легкая</t>
  </si>
  <si>
    <t>Промышленность: прочие виды</t>
  </si>
  <si>
    <t>Промышленность: топливная</t>
  </si>
  <si>
    <t>Промышленность: химическая и нефтехимическая (без химико-фармацевтическая)</t>
  </si>
  <si>
    <t>Промышленность: такторная и сельскохозяйственное машиностроение</t>
  </si>
  <si>
    <t>ЖКХ: непроизводственные виды бытового обслуживание</t>
  </si>
  <si>
    <t>вид деятельности</t>
  </si>
  <si>
    <t>млн. руб.</t>
  </si>
  <si>
    <r>
      <t>Абсолютная ликвидность</t>
    </r>
    <r>
      <rPr>
        <sz val="9"/>
        <rFont val="Times New Roman Cyr"/>
        <family val="1"/>
      </rPr>
      <t xml:space="preserve">
</t>
    </r>
    <r>
      <rPr>
        <sz val="8"/>
        <rFont val="Times New Roman Cyr"/>
        <family val="1"/>
      </rPr>
      <t>(260+270)/(790-720),</t>
    </r>
    <r>
      <rPr>
        <i/>
        <sz val="8"/>
        <rFont val="Times New Roman Cyr"/>
        <family val="1"/>
      </rPr>
      <t xml:space="preserve"> (норм. ≥ 0,2)</t>
    </r>
  </si>
  <si>
    <r>
      <t>Доля заемного капитала в общем капитале</t>
    </r>
    <r>
      <rPr>
        <sz val="9"/>
        <rFont val="Times New Roman Cyr"/>
        <family val="1"/>
      </rPr>
      <t xml:space="preserve">
(коэф-т банкротства) (790/890), </t>
    </r>
    <r>
      <rPr>
        <i/>
        <sz val="9"/>
        <rFont val="Times New Roman Cyr"/>
        <family val="1"/>
      </rPr>
      <t>(норм.≤0,5)</t>
    </r>
  </si>
  <si>
    <r>
      <t>Заемный капитал к собственному капиталу</t>
    </r>
    <r>
      <rPr>
        <sz val="9"/>
        <rFont val="Times New Roman Cyr"/>
        <family val="1"/>
      </rPr>
      <t xml:space="preserve">
(коэф-т финансовой неустойчи- вости, финансовый рычаг)
</t>
    </r>
    <r>
      <rPr>
        <sz val="8"/>
        <rFont val="Times New Roman Cyr"/>
        <family val="1"/>
      </rPr>
      <t xml:space="preserve">(790)/(590+690), </t>
    </r>
    <r>
      <rPr>
        <i/>
        <sz val="8"/>
        <rFont val="Times New Roman Cyr"/>
        <family val="1"/>
      </rPr>
      <t>(норм.0,5-0,7)</t>
    </r>
  </si>
  <si>
    <r>
      <t xml:space="preserve">Чистый  оборотный капитал
</t>
    </r>
    <r>
      <rPr>
        <sz val="9"/>
        <rFont val="Times New Roman Cyr"/>
        <family val="1"/>
      </rPr>
      <t xml:space="preserve">(Net Working Capital) </t>
    </r>
    <r>
      <rPr>
        <sz val="8"/>
        <rFont val="Times New Roman Cyr"/>
        <family val="1"/>
      </rPr>
      <t>(290-(790-720))</t>
    </r>
  </si>
  <si>
    <r>
      <t>Доля чистого оборотного капитала в оборотных активах</t>
    </r>
    <r>
      <rPr>
        <sz val="9"/>
        <rFont val="Times New Roman Cyr"/>
        <family val="1"/>
      </rPr>
      <t xml:space="preserve">
</t>
    </r>
    <r>
      <rPr>
        <sz val="8"/>
        <rFont val="Times New Roman Cyr"/>
        <family val="1"/>
      </rPr>
      <t>(290-(790-720))/290</t>
    </r>
  </si>
  <si>
    <r>
      <t>Чистый оборотный капитал/общий капитал</t>
    </r>
    <r>
      <rPr>
        <sz val="9"/>
        <rFont val="Times New Roman Cyr"/>
        <family val="1"/>
      </rPr>
      <t xml:space="preserve"> 
(Net Working Capital To Assets)
</t>
    </r>
    <r>
      <rPr>
        <sz val="8"/>
        <rFont val="Times New Roman Cyr"/>
        <family val="1"/>
      </rPr>
      <t>(290-(790-720))/890</t>
    </r>
  </si>
  <si>
    <t>Оборотные активы:</t>
  </si>
  <si>
    <t>Расчеты:</t>
  </si>
  <si>
    <t>Краткосрочные кредиты и займы</t>
  </si>
  <si>
    <t>Долгосрочные кредиты и займы</t>
  </si>
  <si>
    <t>с разными дебит-ми, кредит-ми</t>
  </si>
  <si>
    <t>Прочие оборотные активы и финансовые вложения</t>
  </si>
  <si>
    <t>с постав-ми и подряд-ками</t>
  </si>
  <si>
    <t>прочие расчеты</t>
  </si>
  <si>
    <t>Прочие обязательства</t>
  </si>
  <si>
    <r>
      <t xml:space="preserve">Коэф-т финансовой независимости (коэф-т автономии)
</t>
    </r>
    <r>
      <rPr>
        <sz val="9"/>
        <rFont val="Times New Roman Cyr"/>
        <family val="1"/>
      </rPr>
      <t xml:space="preserve">(590+610+620+630+640+650+660)/890, </t>
    </r>
    <r>
      <rPr>
        <sz val="8"/>
        <rFont val="Times New Roman Cyr"/>
        <family val="1"/>
      </rPr>
      <t>(</t>
    </r>
    <r>
      <rPr>
        <i/>
        <sz val="8"/>
        <rFont val="Times New Roman Cyr"/>
        <family val="1"/>
      </rPr>
      <t>норм.0,3-0,6)</t>
    </r>
  </si>
  <si>
    <r>
      <t>Коэффициент обеспеченности собственными средствами</t>
    </r>
    <r>
      <rPr>
        <sz val="8"/>
        <rFont val="Times New Roman Cyr"/>
        <family val="1"/>
      </rPr>
      <t xml:space="preserve">
К2</t>
    </r>
    <r>
      <rPr>
        <sz val="9"/>
        <rFont val="Times New Roman Cyr"/>
        <family val="1"/>
      </rPr>
      <t xml:space="preserve">=(590+690+720-190)/ 290 </t>
    </r>
  </si>
  <si>
    <r>
      <t xml:space="preserve">Собственные оборотные средства
</t>
    </r>
    <r>
      <rPr>
        <sz val="9"/>
        <rFont val="Times New Roman Cyr"/>
        <family val="1"/>
      </rPr>
      <t xml:space="preserve">(собственный оборотный  капитал) </t>
    </r>
    <r>
      <rPr>
        <sz val="8"/>
        <rFont val="Times New Roman Cyr"/>
        <family val="1"/>
      </rPr>
      <t>(590+690+720)-190</t>
    </r>
  </si>
  <si>
    <t>Справочно:</t>
  </si>
  <si>
    <t>Расчет чистых активов</t>
  </si>
  <si>
    <t>норматив (стр.510)</t>
  </si>
  <si>
    <t>Расчетное  значение ((190+290-252)+620)-(560+610+630+660+790)</t>
  </si>
  <si>
    <t xml:space="preserve">По данным киента </t>
  </si>
  <si>
    <t>тыс. руб.</t>
  </si>
  <si>
    <t>Итого</t>
  </si>
  <si>
    <t>Статья актива</t>
  </si>
  <si>
    <t>Статья пассива</t>
  </si>
  <si>
    <t>Сумма</t>
  </si>
  <si>
    <t>Доля в пассиве</t>
  </si>
  <si>
    <t>Доля в активе</t>
  </si>
  <si>
    <t>Расчеты с поставщикамии подрядчиками (60, 62)</t>
  </si>
  <si>
    <t>Расчеты по оплате труда (70)</t>
  </si>
  <si>
    <t>Расчеты по прочим операциям с персоналом</t>
  </si>
  <si>
    <t>Расчеты по налогом и сборам (68)</t>
  </si>
  <si>
    <t>Расчеты по социальному страхованию и обеспечению (69)</t>
  </si>
  <si>
    <t>Расчеты с акционерами (учредителями) по выплате доходов (дивидентов) (75)</t>
  </si>
  <si>
    <t>Расчеты с разными дебиторами и кредиторами (76)</t>
  </si>
  <si>
    <t>Сырье, материалы и другие аналогичные ценности (10, 14, 15, 16)</t>
  </si>
  <si>
    <t>Животные на выращивании и откорме (11)</t>
  </si>
  <si>
    <t>Незавершенное производство (издержки обращения) (20, 21, 23, 29, 44)</t>
  </si>
  <si>
    <t>Прочие запасы и затраты</t>
  </si>
  <si>
    <t>Расчеты с покупателями и заказчиками (62, 63)</t>
  </si>
  <si>
    <t>Расчеты с учредителями по вкладам в уставный фонд(75)</t>
  </si>
  <si>
    <t>Прочая дебиторская задолженность (60, 69)</t>
  </si>
  <si>
    <t>Выручка от реализации товаров, работ, услуг</t>
  </si>
  <si>
    <t>Налои, включаемые в выручку от реализации товаров, работ, услуг</t>
  </si>
  <si>
    <r>
      <t xml:space="preserve">Выручка от реализации товаров, работ, услуг (за минусом НДС, акцизов и иных аналогичных обязательных платежей) </t>
    </r>
    <r>
      <rPr>
        <sz val="8"/>
        <rFont val="Times New Roman Cyr"/>
        <family val="1"/>
      </rPr>
      <t>(010-020)</t>
    </r>
  </si>
  <si>
    <t>в том числе бюджетные субсидии на покрытие разницы в ценах и тарифах</t>
  </si>
  <si>
    <t>Себестоимость реализованных товаров, работ, услуг</t>
  </si>
  <si>
    <r>
      <t xml:space="preserve">Прибыль (убыток) от реализации </t>
    </r>
    <r>
      <rPr>
        <sz val="8"/>
        <rFont val="Times New Roman Cyr"/>
        <family val="1"/>
      </rPr>
      <t>(030-040-050-060)</t>
    </r>
  </si>
  <si>
    <t>Операционые доходы</t>
  </si>
  <si>
    <t>Налоги, включаемые в операционные доходы</t>
  </si>
  <si>
    <r>
      <t xml:space="preserve">Операционные доходы
(за минусом НДС, иных аналогичных обязательных платежей) </t>
    </r>
    <r>
      <rPr>
        <sz val="8"/>
        <rFont val="Times New Roman Cyr"/>
        <family val="1"/>
      </rPr>
      <t>(080-090)</t>
    </r>
  </si>
  <si>
    <t>В том числе:
доходы, полученные от продажи активов (кроме ценных бумаг и иностранной валюты)</t>
  </si>
  <si>
    <t>доходы от операций с ценными бумагами</t>
  </si>
  <si>
    <t>доходы от участия в Уставных фондах других организаций</t>
  </si>
  <si>
    <t>прочие операционные доходы</t>
  </si>
  <si>
    <t>Операционные расходы</t>
  </si>
  <si>
    <t>В том числе:
расходы, полученные от продажи активов (кроме ценных бумаг и иностранной валюты)</t>
  </si>
  <si>
    <t>расходы от операций с ценными бумагами</t>
  </si>
  <si>
    <t>прочие операционные расходы</t>
  </si>
  <si>
    <r>
      <t>Прибыль (убыток) от совместной деятельности</t>
    </r>
  </si>
  <si>
    <r>
      <t xml:space="preserve">Прибыль (убыток) от операционных доходов и расходов </t>
    </r>
    <r>
      <rPr>
        <sz val="8"/>
        <rFont val="Times New Roman Cyr"/>
        <family val="1"/>
      </rPr>
      <t>(100 - 110 ± 120)</t>
    </r>
  </si>
  <si>
    <t>Внереализационные доходы</t>
  </si>
  <si>
    <t>Налоги, включаемые во внереализационные доходы</t>
  </si>
  <si>
    <t>Внереализационные расходы</t>
  </si>
  <si>
    <t>Сумма источников собственных средств, направленная на покрытие убытков</t>
  </si>
  <si>
    <r>
      <t xml:space="preserve">Прибыль (убыток) от внереализационных доходов и расходов </t>
    </r>
    <r>
      <rPr>
        <sz val="8"/>
        <rFont val="Times New Roman Cyr"/>
        <family val="1"/>
      </rPr>
      <t>(160 - 170 + 180)</t>
    </r>
  </si>
  <si>
    <r>
      <t xml:space="preserve">Внереализационные доходы  (за минусом НДС, акцизов и иных аналогичных обязательных платежей) </t>
    </r>
    <r>
      <rPr>
        <sz val="8"/>
        <rFont val="Times New Roman Cyr"/>
        <family val="1"/>
      </rPr>
      <t>(130-140)</t>
    </r>
  </si>
  <si>
    <r>
      <t xml:space="preserve">ПРИБЫЛЬ (УБЫТОК) ЗА ОТЧЕТНЫЙ ПЕРИОД </t>
    </r>
    <r>
      <rPr>
        <sz val="8"/>
        <rFont val="Times New Roman Cyr"/>
        <family val="1"/>
      </rPr>
      <t>(± 070 ± 130 ± 190)</t>
    </r>
  </si>
  <si>
    <t>Налоги м сборы, производимые из прибыли</t>
  </si>
  <si>
    <t>Расходы и платежи из прибыли</t>
  </si>
  <si>
    <t>Сумма льгот по налогу на прибыль</t>
  </si>
  <si>
    <r>
      <t xml:space="preserve">ПРИБЫЛЬ (УБЫТОК) К РАСПРЕДЕЛЕНИЮ </t>
    </r>
    <r>
      <rPr>
        <sz val="8"/>
        <rFont val="Times New Roman Cyr"/>
        <family val="1"/>
      </rPr>
      <t>(± 200 - 210 -220 -230)</t>
    </r>
  </si>
  <si>
    <t>СПРАВКА. Расшифровка отдельных внереализационны доходов и расходов</t>
  </si>
  <si>
    <t>Расходы на содержание обслуживающих производств и хозяйств</t>
  </si>
  <si>
    <t>Постановление Минфина № 16 от 17.02.04</t>
  </si>
  <si>
    <t>Выручка от реализации товаров, работ, услуг (с НДС и аналогич. плат.)</t>
  </si>
  <si>
    <t>Выручка от реализации товаров, работ, услуг (без НДС и аналогич. плат.)</t>
  </si>
  <si>
    <t>БАЛАНСВОАЯ ПРИБЫЛЬ (УБЫТОК)</t>
  </si>
  <si>
    <t>ПРИБЫЛЬ (УБЫТОК) К РАСПРЕДЕЛЕНИЮ</t>
  </si>
  <si>
    <t>Налоги и сборы из прибыли</t>
  </si>
  <si>
    <t>Значение</t>
  </si>
  <si>
    <t>Таблица 2. Выручка и прибыль</t>
  </si>
  <si>
    <t>Таблица 3. Рентабельность по балансовой прибыли</t>
  </si>
  <si>
    <t>1.</t>
  </si>
  <si>
    <t>2.</t>
  </si>
  <si>
    <t>3.</t>
  </si>
  <si>
    <t>Совокупные затраты</t>
  </si>
  <si>
    <t>Рентабельность продаж (п. 7. Таблица 2 / п. 2. Таблица 2)</t>
  </si>
  <si>
    <t>Рентабельность хозяйственной деятельности (п. 9 Таблица 2 / п. 2. Таблица 2)</t>
  </si>
  <si>
    <t>Оборачиваемость оборотных активов, дни</t>
  </si>
  <si>
    <t>Штрафы, пени, неустойки по неисполнению хозяйственных договоров</t>
  </si>
  <si>
    <t>Списанная дебиторская и кредиторская задолженность</t>
  </si>
  <si>
    <t>Курсовые и суммовые разницы</t>
  </si>
  <si>
    <t>Благотворительная помощь</t>
  </si>
  <si>
    <t>Недостачи, потери и порча активов</t>
  </si>
  <si>
    <t>Доходы, потери и расходы в связи с чрезвычайными обстоятельствами</t>
  </si>
  <si>
    <t>Коэффициент текущей ликвидности, норм ≥ 1,00
на 01.01.05      0,91
на 01.06.05      0,93
Коэффициент обеспеченности собственными средствами, норм ≥ 0,10
на 01.01.05      -0,1
на 01.06.05      -0,07
Коэффициент обеспеченности финансовых обязательств активами, норм ≤ 0,85
на 01.01.05      0,93
на 01.06.05      0,9
Коэффициент восстановления платежеспособности, норм ≥ 1,00
на 01.06.05      0,96
Оборачиваемость оборотных активов, дни
за 5 месяцев 2005 года      314,03</t>
  </si>
  <si>
    <t>Баланс ООО "Беллесобработка"</t>
  </si>
</sst>
</file>

<file path=xl/styles.xml><?xml version="1.0" encoding="utf-8"?>
<styleSheet xmlns="http://schemas.openxmlformats.org/spreadsheetml/2006/main">
  <numFmts count="1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d\ mmm\ yy"/>
    <numFmt numFmtId="166" formatCode="dmmm\ yy"/>
    <numFmt numFmtId="167" formatCode="ddmmm\ yy"/>
    <numFmt numFmtId="168" formatCode="#,##0&quot;р.&quot;"/>
    <numFmt numFmtId="169" formatCode="0_ ;[Red]\-0\ "/>
    <numFmt numFmtId="170" formatCode="#,##0;[Red]\-#,##0"/>
    <numFmt numFmtId="171" formatCode="#,##0;[Red]\-#,##0.00&quot;р.&quot;"/>
    <numFmt numFmtId="172" formatCode="#,##0.0"/>
    <numFmt numFmtId="173" formatCode="#,##0.0;[Red]\-#,##0.0"/>
    <numFmt numFmtId="174" formatCode="0.000"/>
    <numFmt numFmtId="175" formatCode="0.0"/>
    <numFmt numFmtId="176" formatCode="0.000;[Red]\-0.000"/>
    <numFmt numFmtId="177" formatCode="0.000,;[Red]\-0.000,"/>
    <numFmt numFmtId="178" formatCode="0.00;[Red]\-0.00"/>
    <numFmt numFmtId="179" formatCode="#,##0_;;;"/>
    <numFmt numFmtId="180" formatCode="#,##0___;;;"/>
    <numFmt numFmtId="181" formatCode="#,##0______;;;"/>
    <numFmt numFmtId="182" formatCode="#,##0;[Yellow]\-#,##0"/>
    <numFmt numFmtId="183" formatCode="#,##0;[Green]\-#,##0"/>
    <numFmt numFmtId="184" formatCode="#,##0;[White]\-#,##0"/>
    <numFmt numFmtId="185" formatCode="#,##0;[Blue]\-#,##0"/>
    <numFmt numFmtId="186" formatCode="0.0%"/>
    <numFmt numFmtId="187" formatCode="\&gt;\ 0.0"/>
    <numFmt numFmtId="188" formatCode="#,##0____;;;"/>
    <numFmt numFmtId="189" formatCode="#,##0__;;;"/>
    <numFmt numFmtId="190" formatCode="[Red]0.00_______________;\-0.00"/>
    <numFmt numFmtId="191" formatCode="[Red]0.00_;\-0.00"/>
    <numFmt numFmtId="192" formatCode="0.00%__\ ;[Red]\-0.00%\ "/>
    <numFmt numFmtId="193" formatCode="0.00%________________\ ;[Red]\-0.00%\ "/>
    <numFmt numFmtId="194" formatCode="0.00%;[Red]\-0.00%\ "/>
    <numFmt numFmtId="195" formatCode="\≥\ 0.0"/>
    <numFmt numFmtId="196" formatCode="0.0_____;;"/>
    <numFmt numFmtId="197" formatCode="0.0_______;;"/>
    <numFmt numFmtId="198" formatCode="0.0%;[Red]\-0.0"/>
    <numFmt numFmtId="199" formatCode="#,##0;;;"/>
    <numFmt numFmtId="200" formatCode="#,##0____________;;;"/>
    <numFmt numFmtId="201" formatCode="0;[Red]\-0"/>
    <numFmt numFmtId="202" formatCode="0__;[Red]\-0__"/>
    <numFmt numFmtId="203" formatCode="0____;[Red]\-0____"/>
    <numFmt numFmtId="204" formatCode="#,##0____;[Red]\-#,##0____"/>
    <numFmt numFmtId="205" formatCode="#,##0.00;[Red]\-#,##0.00"/>
    <numFmt numFmtId="206" formatCode="0.0000"/>
    <numFmt numFmtId="207" formatCode="dd\ mmm\ yy"/>
    <numFmt numFmtId="208" formatCode="dd/mmm/yyyy"/>
    <numFmt numFmtId="209" formatCode="#,##0.00%;[Red]\-#,##0.00%\ "/>
    <numFmt numFmtId="210" formatCode="0.0;[Red]\-0.0"/>
    <numFmt numFmtId="211" formatCode="#,##0.0______;[Red]\-#,##0.0______"/>
    <numFmt numFmtId="212" formatCode="#,##0.0________;[Red]\-#,##0.0______"/>
    <numFmt numFmtId="213" formatCode="#,##0.00______;[Red]\-#,##0.00______"/>
    <numFmt numFmtId="214" formatCode="#,##0______;[Red]\-#,##0______"/>
    <numFmt numFmtId="215" formatCode="dd\ mmm\ yyyy"/>
    <numFmt numFmtId="216" formatCode="#,##0;[Red]\-#,##0;;"/>
    <numFmt numFmtId="217" formatCode="#,##0;\-#,##0;;"/>
    <numFmt numFmtId="218" formatCode="0.0%;[Red]\-0.0%"/>
    <numFmt numFmtId="219" formatCode="#,##0____________;;&quot;-&quot;;"/>
    <numFmt numFmtId="220" formatCode="#,##0____________;;&quot;-____________&quot;;"/>
    <numFmt numFmtId="221" formatCode="#,##0____________;;&quot;-            &quot;;"/>
    <numFmt numFmtId="222" formatCode="#,##0.0;;&quot;-&quot;"/>
    <numFmt numFmtId="223" formatCode="#,##0;[Red]\-#,##0;\-;"/>
    <numFmt numFmtId="224" formatCode="#,##0______;[Red]\-#,##0______;\-;"/>
    <numFmt numFmtId="225" formatCode="#,##0______;[Red]\-#,##0______;\-______;"/>
    <numFmt numFmtId="226" formatCode="#,##0;[Red]\-#,##0;\-"/>
    <numFmt numFmtId="227" formatCode=";;\-"/>
    <numFmt numFmtId="228" formatCode="#,##0.0;[Red]\-#,##0.0;\-;"/>
    <numFmt numFmtId="229" formatCode="\≥\ 0.00"/>
    <numFmt numFmtId="230" formatCode="\&lt;\=\ 0.00"/>
    <numFmt numFmtId="231" formatCode="\≤\ 0.00"/>
    <numFmt numFmtId="232" formatCode="&quot;Вид деятельности: &quot;General"/>
    <numFmt numFmtId="233" formatCode="0.00%;[Red]\-0.00%;\-"/>
    <numFmt numFmtId="234" formatCode="#,##0.00;[Red]\-#,##0.00;\-"/>
    <numFmt numFmtId="235" formatCode="0.0000000000"/>
    <numFmt numFmtId="236" formatCode="000000"/>
    <numFmt numFmtId="237" formatCode="d/m"/>
    <numFmt numFmtId="238" formatCode="mmm/yyyy"/>
    <numFmt numFmtId="239" formatCode="d\ mmmm\,\ yyyy"/>
    <numFmt numFmtId="240" formatCode="0.00000000000000000"/>
    <numFmt numFmtId="241" formatCode="0.00000"/>
    <numFmt numFmtId="242" formatCode="#,##0\ &quot;р.&quot;;\-#,##0\ &quot;р.&quot;"/>
    <numFmt numFmtId="243" formatCode="#,##0\ &quot;р.&quot;;[Red]\-#,##0\ &quot;р.&quot;"/>
    <numFmt numFmtId="244" formatCode="#,##0.00\ &quot;р.&quot;;\-#,##0.00\ &quot;р.&quot;"/>
    <numFmt numFmtId="245" formatCode="#,##0.00\ &quot;р.&quot;;[Red]\-#,##0.00\ &quot;р.&quot;"/>
    <numFmt numFmtId="246" formatCode="_-* #,##0\ &quot;р.&quot;_-;\-* #,##0\ &quot;р.&quot;_-;_-* &quot;-&quot;\ &quot;р.&quot;_-;_-@_-"/>
    <numFmt numFmtId="247" formatCode="_-* #,##0\ _р_._-;\-* #,##0\ _р_._-;_-* &quot;-&quot;\ _р_._-;_-@_-"/>
    <numFmt numFmtId="248" formatCode="_-* #,##0.00\ &quot;р.&quot;_-;\-* #,##0.00\ &quot;р.&quot;_-;_-* &quot;-&quot;??\ &quot;р.&quot;_-;_-@_-"/>
    <numFmt numFmtId="249" formatCode="_-* #,##0.00\ _р_._-;\-* #,##0.00\ _р_._-;_-* &quot;-&quot;??\ _р_._-;_-@_-"/>
    <numFmt numFmtId="250" formatCode="s\t\a\nd\a\rd"/>
    <numFmt numFmtId="251" formatCode="_-* #,##0\ &quot;zł&quot;_-;\-* #,##0\ &quot;zł&quot;_-;_-* &quot;-&quot;\ &quot;zł&quot;_-;_-@_-"/>
    <numFmt numFmtId="252" formatCode="_-* #,##0\ _z_ł_-;\-* #,##0\ _z_ł_-;_-* &quot;-&quot;\ _z_ł_-;_-@_-"/>
    <numFmt numFmtId="253" formatCode="_-* #,##0.00\ &quot;zł&quot;_-;\-* #,##0.00\ &quot;zł&quot;_-;_-* &quot;-&quot;??\ &quot;zł&quot;_-;_-@_-"/>
    <numFmt numFmtId="254" formatCode="_-* #,##0.00\ _z_ł_-;\-* #,##0.00\ _z_ł_-;_-* &quot;-&quot;??\ _z_ł_-;_-@_-"/>
    <numFmt numFmtId="255" formatCode="#,##0_р_."/>
    <numFmt numFmtId="256" formatCode="#,##0.00&quot;р.&quot;"/>
    <numFmt numFmtId="257" formatCode="#,##0.00_р_."/>
    <numFmt numFmtId="258" formatCode="#,##0.0000&quot;р.&quot;;[Red]\-#,##0.0000&quot;р.&quot;"/>
    <numFmt numFmtId="259" formatCode="#,##0_ ;[Red]\-#,##0\ "/>
    <numFmt numFmtId="260" formatCode="#,##0.00000"/>
    <numFmt numFmtId="261" formatCode="#,##0.0&quot;р.&quot;;[Red]\-#,##0.0&quot;р.&quot;"/>
    <numFmt numFmtId="262" formatCode="mmm\ yy"/>
    <numFmt numFmtId="263" formatCode="mmmm\ yy"/>
    <numFmt numFmtId="264" formatCode="0.00;\(\-0.00\);0.00"/>
    <numFmt numFmtId="265" formatCode="#,##0.00;;\-"/>
    <numFmt numFmtId="266" formatCode="0.0%__;"/>
    <numFmt numFmtId="267" formatCode="#,##0.00___;"/>
    <numFmt numFmtId="268" formatCode="0.0%___;"/>
    <numFmt numFmtId="269" formatCode="#,##0.0;[Red]\(\-#,##0.0\);\-;"/>
    <numFmt numFmtId="270" formatCode="#,##0.0%;[Red]\(\-#,##0.0%\);\-;"/>
    <numFmt numFmtId="271" formatCode="0.00;[Red]\-0.00;\-"/>
    <numFmt numFmtId="272" formatCode="#,##0.00;[Red]\(\-#,##0.00\);\-;"/>
    <numFmt numFmtId="273" formatCode="#,##0.00%;[Red]\(\-#,##0.00%\);\-;"/>
  </numFmts>
  <fonts count="37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i/>
      <sz val="8"/>
      <name val="Times New Roman Cyr"/>
      <family val="1"/>
    </font>
    <font>
      <sz val="6"/>
      <name val="Times New Roman Cyr"/>
      <family val="1"/>
    </font>
    <font>
      <i/>
      <sz val="6"/>
      <name val="Times New Roman Cyr"/>
      <family val="1"/>
    </font>
    <font>
      <i/>
      <sz val="10"/>
      <color indexed="60"/>
      <name val="Times New Roman Cyr"/>
      <family val="1"/>
    </font>
    <font>
      <sz val="9"/>
      <name val="Times New Roman Cyr"/>
      <family val="1"/>
    </font>
    <font>
      <b/>
      <u val="single"/>
      <sz val="9"/>
      <name val="Times New Roman Cyr"/>
      <family val="1"/>
    </font>
    <font>
      <b/>
      <u val="single"/>
      <sz val="10"/>
      <name val="Times New Roman Cyr"/>
      <family val="1"/>
    </font>
    <font>
      <sz val="10"/>
      <color indexed="41"/>
      <name val="Times New Roman Cyr"/>
      <family val="1"/>
    </font>
    <font>
      <b/>
      <sz val="10"/>
      <color indexed="60"/>
      <name val="Arial Cyr"/>
      <family val="2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8"/>
      <name val="Times New Roman Cyr"/>
      <family val="1"/>
    </font>
    <font>
      <sz val="3"/>
      <name val="Times New Roman Cyr"/>
      <family val="1"/>
    </font>
    <font>
      <b/>
      <sz val="3"/>
      <name val="Times New Roman Cyr"/>
      <family val="1"/>
    </font>
    <font>
      <b/>
      <sz val="8"/>
      <color indexed="53"/>
      <name val="Times New Roman Cyr"/>
      <family val="1"/>
    </font>
    <font>
      <sz val="9"/>
      <color indexed="53"/>
      <name val="Times New Roman Cyr"/>
      <family val="1"/>
    </font>
    <font>
      <i/>
      <sz val="8"/>
      <color indexed="60"/>
      <name val="Times New Roman Cyr"/>
      <family val="1"/>
    </font>
    <font>
      <b/>
      <i/>
      <sz val="9"/>
      <color indexed="60"/>
      <name val="Times New Roman Cyr"/>
      <family val="1"/>
    </font>
    <font>
      <i/>
      <sz val="9"/>
      <color indexed="60"/>
      <name val="Times New Roman Cyr"/>
      <family val="1"/>
    </font>
    <font>
      <b/>
      <sz val="12"/>
      <name val="Times New Roman Cyr"/>
      <family val="1"/>
    </font>
    <font>
      <sz val="9"/>
      <name val="Arial"/>
      <family val="2"/>
    </font>
    <font>
      <sz val="9"/>
      <name val="Arial Cyr"/>
      <family val="2"/>
    </font>
    <font>
      <sz val="9"/>
      <color indexed="12"/>
      <name val="Times New Roman Cyr"/>
      <family val="1"/>
    </font>
    <font>
      <sz val="8"/>
      <color indexed="12"/>
      <name val="Times New Roman Cyr"/>
      <family val="1"/>
    </font>
    <font>
      <sz val="10"/>
      <color indexed="12"/>
      <name val="Times New Roman Cyr"/>
      <family val="1"/>
    </font>
    <font>
      <b/>
      <u val="single"/>
      <sz val="10"/>
      <color indexed="12"/>
      <name val="Times New Roman Cyr"/>
      <family val="1"/>
    </font>
    <font>
      <i/>
      <sz val="9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sz val="9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42"/>
      </patternFill>
    </fill>
  </fills>
  <borders count="4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justify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justify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wrapText="1" indent="2"/>
    </xf>
    <xf numFmtId="178" fontId="1" fillId="0" borderId="0" xfId="0" applyNumberFormat="1" applyFont="1" applyAlignment="1">
      <alignment/>
    </xf>
    <xf numFmtId="0" fontId="1" fillId="2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6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center" vertical="center" wrapText="1"/>
    </xf>
    <xf numFmtId="192" fontId="1" fillId="2" borderId="2" xfId="0" applyNumberFormat="1" applyFont="1" applyFill="1" applyBorder="1" applyAlignment="1">
      <alignment horizontal="right" vertical="center"/>
    </xf>
    <xf numFmtId="192" fontId="1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/>
    </xf>
    <xf numFmtId="0" fontId="10" fillId="2" borderId="11" xfId="0" applyFont="1" applyFill="1" applyBorder="1" applyAlignment="1">
      <alignment horizontal="justify" wrapText="1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justify" wrapText="1"/>
    </xf>
    <xf numFmtId="0" fontId="1" fillId="2" borderId="13" xfId="0" applyFont="1" applyFill="1" applyBorder="1" applyAlignment="1">
      <alignment/>
    </xf>
    <xf numFmtId="0" fontId="2" fillId="2" borderId="14" xfId="0" applyFont="1" applyFill="1" applyBorder="1" applyAlignment="1">
      <alignment horizontal="justify" wrapText="1"/>
    </xf>
    <xf numFmtId="0" fontId="17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1" fillId="2" borderId="15" xfId="0" applyFont="1" applyFill="1" applyBorder="1" applyAlignment="1">
      <alignment/>
    </xf>
    <xf numFmtId="172" fontId="21" fillId="2" borderId="10" xfId="0" applyNumberFormat="1" applyFont="1" applyFill="1" applyBorder="1" applyAlignment="1">
      <alignment/>
    </xf>
    <xf numFmtId="172" fontId="21" fillId="2" borderId="16" xfId="0" applyNumberFormat="1" applyFont="1" applyFill="1" applyBorder="1" applyAlignment="1">
      <alignment/>
    </xf>
    <xf numFmtId="173" fontId="21" fillId="2" borderId="9" xfId="0" applyNumberFormat="1" applyFont="1" applyFill="1" applyBorder="1" applyAlignment="1">
      <alignment/>
    </xf>
    <xf numFmtId="175" fontId="21" fillId="2" borderId="10" xfId="0" applyNumberFormat="1" applyFont="1" applyFill="1" applyBorder="1" applyAlignment="1">
      <alignment/>
    </xf>
    <xf numFmtId="175" fontId="21" fillId="2" borderId="16" xfId="0" applyNumberFormat="1" applyFont="1" applyFill="1" applyBorder="1" applyAlignment="1">
      <alignment/>
    </xf>
    <xf numFmtId="175" fontId="21" fillId="2" borderId="9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172" fontId="23" fillId="2" borderId="12" xfId="0" applyNumberFormat="1" applyFont="1" applyFill="1" applyBorder="1" applyAlignment="1">
      <alignment/>
    </xf>
    <xf numFmtId="172" fontId="23" fillId="2" borderId="14" xfId="0" applyNumberFormat="1" applyFont="1" applyFill="1" applyBorder="1" applyAlignment="1">
      <alignment/>
    </xf>
    <xf numFmtId="173" fontId="23" fillId="2" borderId="1" xfId="0" applyNumberFormat="1" applyFont="1" applyFill="1" applyBorder="1" applyAlignment="1">
      <alignment/>
    </xf>
    <xf numFmtId="172" fontId="23" fillId="2" borderId="10" xfId="0" applyNumberFormat="1" applyFont="1" applyFill="1" applyBorder="1" applyAlignment="1">
      <alignment/>
    </xf>
    <xf numFmtId="172" fontId="23" fillId="2" borderId="16" xfId="0" applyNumberFormat="1" applyFont="1" applyFill="1" applyBorder="1" applyAlignment="1">
      <alignment/>
    </xf>
    <xf numFmtId="173" fontId="23" fillId="2" borderId="9" xfId="0" applyNumberFormat="1" applyFont="1" applyFill="1" applyBorder="1" applyAlignment="1">
      <alignment/>
    </xf>
    <xf numFmtId="172" fontId="22" fillId="2" borderId="12" xfId="0" applyNumberFormat="1" applyFont="1" applyFill="1" applyBorder="1" applyAlignment="1">
      <alignment/>
    </xf>
    <xf numFmtId="172" fontId="22" fillId="2" borderId="14" xfId="0" applyNumberFormat="1" applyFont="1" applyFill="1" applyBorder="1" applyAlignment="1">
      <alignment/>
    </xf>
    <xf numFmtId="173" fontId="22" fillId="2" borderId="1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175" fontId="23" fillId="2" borderId="12" xfId="0" applyNumberFormat="1" applyFont="1" applyFill="1" applyBorder="1" applyAlignment="1">
      <alignment/>
    </xf>
    <xf numFmtId="175" fontId="23" fillId="2" borderId="14" xfId="0" applyNumberFormat="1" applyFont="1" applyFill="1" applyBorder="1" applyAlignment="1">
      <alignment/>
    </xf>
    <xf numFmtId="175" fontId="23" fillId="2" borderId="1" xfId="0" applyNumberFormat="1" applyFont="1" applyFill="1" applyBorder="1" applyAlignment="1">
      <alignment/>
    </xf>
    <xf numFmtId="175" fontId="23" fillId="2" borderId="10" xfId="0" applyNumberFormat="1" applyFont="1" applyFill="1" applyBorder="1" applyAlignment="1">
      <alignment/>
    </xf>
    <xf numFmtId="175" fontId="23" fillId="2" borderId="16" xfId="0" applyNumberFormat="1" applyFont="1" applyFill="1" applyBorder="1" applyAlignment="1">
      <alignment/>
    </xf>
    <xf numFmtId="175" fontId="23" fillId="2" borderId="9" xfId="0" applyNumberFormat="1" applyFont="1" applyFill="1" applyBorder="1" applyAlignment="1">
      <alignment/>
    </xf>
    <xf numFmtId="175" fontId="9" fillId="0" borderId="0" xfId="0" applyNumberFormat="1" applyFont="1" applyFill="1" applyAlignment="1">
      <alignment/>
    </xf>
    <xf numFmtId="175" fontId="22" fillId="0" borderId="0" xfId="0" applyNumberFormat="1" applyFont="1" applyFill="1" applyBorder="1" applyAlignment="1">
      <alignment/>
    </xf>
    <xf numFmtId="175" fontId="22" fillId="2" borderId="10" xfId="0" applyNumberFormat="1" applyFont="1" applyFill="1" applyBorder="1" applyAlignment="1">
      <alignment/>
    </xf>
    <xf numFmtId="175" fontId="22" fillId="2" borderId="16" xfId="0" applyNumberFormat="1" applyFont="1" applyFill="1" applyBorder="1" applyAlignment="1">
      <alignment/>
    </xf>
    <xf numFmtId="175" fontId="22" fillId="2" borderId="9" xfId="0" applyNumberFormat="1" applyFont="1" applyFill="1" applyBorder="1" applyAlignment="1">
      <alignment/>
    </xf>
    <xf numFmtId="170" fontId="9" fillId="0" borderId="0" xfId="0" applyNumberFormat="1" applyFont="1" applyAlignment="1">
      <alignment/>
    </xf>
    <xf numFmtId="175" fontId="22" fillId="2" borderId="12" xfId="0" applyNumberFormat="1" applyFont="1" applyFill="1" applyBorder="1" applyAlignment="1">
      <alignment/>
    </xf>
    <xf numFmtId="175" fontId="22" fillId="2" borderId="14" xfId="0" applyNumberFormat="1" applyFont="1" applyFill="1" applyBorder="1" applyAlignment="1">
      <alignment/>
    </xf>
    <xf numFmtId="175" fontId="22" fillId="2" borderId="1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justify" wrapText="1"/>
    </xf>
    <xf numFmtId="175" fontId="22" fillId="4" borderId="0" xfId="0" applyNumberFormat="1" applyFont="1" applyFill="1" applyBorder="1" applyAlignment="1">
      <alignment/>
    </xf>
    <xf numFmtId="168" fontId="1" fillId="5" borderId="5" xfId="0" applyNumberFormat="1" applyFont="1" applyFill="1" applyBorder="1" applyAlignment="1">
      <alignment/>
    </xf>
    <xf numFmtId="168" fontId="2" fillId="5" borderId="7" xfId="0" applyNumberFormat="1" applyFont="1" applyFill="1" applyBorder="1" applyAlignment="1">
      <alignment horizontal="justify" wrapText="1"/>
    </xf>
    <xf numFmtId="3" fontId="22" fillId="5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0" fontId="9" fillId="0" borderId="0" xfId="0" applyFont="1" applyAlignment="1">
      <alignment vertical="center"/>
    </xf>
    <xf numFmtId="192" fontId="9" fillId="2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3" fontId="2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 indent="3"/>
    </xf>
    <xf numFmtId="200" fontId="1" fillId="0" borderId="0" xfId="0" applyNumberFormat="1" applyFont="1" applyFill="1" applyBorder="1" applyAlignment="1">
      <alignment horizontal="right" vertical="center"/>
    </xf>
    <xf numFmtId="197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" fontId="14" fillId="0" borderId="0" xfId="0" applyNumberFormat="1" applyFont="1" applyAlignment="1">
      <alignment horizontal="justify" wrapText="1"/>
    </xf>
    <xf numFmtId="0" fontId="1" fillId="2" borderId="19" xfId="0" applyFont="1" applyFill="1" applyBorder="1" applyAlignment="1">
      <alignment/>
    </xf>
    <xf numFmtId="222" fontId="1" fillId="2" borderId="2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/>
    </xf>
    <xf numFmtId="172" fontId="22" fillId="4" borderId="6" xfId="0" applyNumberFormat="1" applyFont="1" applyFill="1" applyBorder="1" applyAlignment="1">
      <alignment vertical="center"/>
    </xf>
    <xf numFmtId="173" fontId="22" fillId="4" borderId="7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/>
    </xf>
    <xf numFmtId="0" fontId="2" fillId="4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172" fontId="22" fillId="3" borderId="6" xfId="0" applyNumberFormat="1" applyFont="1" applyFill="1" applyBorder="1" applyAlignment="1">
      <alignment vertical="center"/>
    </xf>
    <xf numFmtId="173" fontId="22" fillId="3" borderId="7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222" fontId="1" fillId="2" borderId="13" xfId="0" applyNumberFormat="1" applyFont="1" applyFill="1" applyBorder="1" applyAlignment="1">
      <alignment vertical="center"/>
    </xf>
    <xf numFmtId="0" fontId="11" fillId="4" borderId="6" xfId="0" applyFont="1" applyFill="1" applyBorder="1" applyAlignment="1">
      <alignment horizontal="justify" wrapText="1"/>
    </xf>
    <xf numFmtId="0" fontId="1" fillId="4" borderId="6" xfId="0" applyFont="1" applyFill="1" applyBorder="1" applyAlignment="1">
      <alignment/>
    </xf>
    <xf numFmtId="222" fontId="2" fillId="4" borderId="6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/>
    </xf>
    <xf numFmtId="209" fontId="27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3" borderId="21" xfId="0" applyNumberFormat="1" applyFont="1" applyFill="1" applyBorder="1" applyAlignment="1" applyProtection="1">
      <alignment horizontal="center" wrapText="1"/>
      <protection/>
    </xf>
    <xf numFmtId="0" fontId="1" fillId="3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justify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2" fillId="2" borderId="9" xfId="0" applyFont="1" applyFill="1" applyBorder="1" applyAlignment="1" applyProtection="1">
      <alignment horizontal="justify" wrapText="1"/>
      <protection/>
    </xf>
    <xf numFmtId="0" fontId="4" fillId="2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 horizontal="justify" wrapText="1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wrapText="1" indent="2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justify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wrapText="1" indent="2"/>
      <protection/>
    </xf>
    <xf numFmtId="0" fontId="5" fillId="2" borderId="9" xfId="0" applyFont="1" applyFill="1" applyBorder="1" applyAlignment="1" applyProtection="1">
      <alignment horizontal="left" wrapText="1" indent="2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justify" wrapText="1"/>
      <protection/>
    </xf>
    <xf numFmtId="0" fontId="19" fillId="0" borderId="0" xfId="0" applyFont="1" applyFill="1" applyAlignment="1" applyProtection="1">
      <alignment horizontal="right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75" fontId="19" fillId="0" borderId="0" xfId="0" applyNumberFormat="1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164" fontId="4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justify" wrapText="1"/>
      <protection/>
    </xf>
    <xf numFmtId="164" fontId="4" fillId="2" borderId="16" xfId="0" applyNumberFormat="1" applyFont="1" applyFill="1" applyBorder="1" applyAlignment="1" applyProtection="1">
      <alignment horizontal="center" vertical="center"/>
      <protection/>
    </xf>
    <xf numFmtId="164" fontId="4" fillId="2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wrapText="1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justify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2" borderId="25" xfId="0" applyFont="1" applyFill="1" applyBorder="1" applyAlignment="1">
      <alignment horizontal="justify" wrapText="1"/>
    </xf>
    <xf numFmtId="0" fontId="10" fillId="2" borderId="26" xfId="0" applyFont="1" applyFill="1" applyBorder="1" applyAlignment="1">
      <alignment horizontal="justify" wrapText="1"/>
    </xf>
    <xf numFmtId="0" fontId="1" fillId="2" borderId="27" xfId="0" applyFont="1" applyFill="1" applyBorder="1" applyAlignment="1" applyProtection="1">
      <alignment horizontal="justify" wrapText="1"/>
      <protection/>
    </xf>
    <xf numFmtId="164" fontId="4" fillId="2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" fontId="24" fillId="3" borderId="28" xfId="0" applyNumberFormat="1" applyFont="1" applyFill="1" applyBorder="1" applyAlignment="1" applyProtection="1">
      <alignment horizontal="left" wrapText="1"/>
      <protection locked="0"/>
    </xf>
    <xf numFmtId="0" fontId="12" fillId="3" borderId="2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225" fontId="15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/>
    </xf>
    <xf numFmtId="228" fontId="15" fillId="4" borderId="6" xfId="0" applyNumberFormat="1" applyFont="1" applyFill="1" applyBorder="1" applyAlignment="1">
      <alignment vertical="center"/>
    </xf>
    <xf numFmtId="228" fontId="9" fillId="2" borderId="30" xfId="0" applyNumberFormat="1" applyFont="1" applyFill="1" applyBorder="1" applyAlignment="1">
      <alignment/>
    </xf>
    <xf numFmtId="228" fontId="17" fillId="0" borderId="0" xfId="0" applyNumberFormat="1" applyFont="1" applyFill="1" applyBorder="1" applyAlignment="1">
      <alignment/>
    </xf>
    <xf numFmtId="228" fontId="15" fillId="3" borderId="6" xfId="0" applyNumberFormat="1" applyFont="1" applyFill="1" applyBorder="1" applyAlignment="1">
      <alignment vertical="center"/>
    </xf>
    <xf numFmtId="228" fontId="9" fillId="0" borderId="0" xfId="0" applyNumberFormat="1" applyFont="1" applyFill="1" applyBorder="1" applyAlignment="1">
      <alignment/>
    </xf>
    <xf numFmtId="228" fontId="15" fillId="4" borderId="0" xfId="0" applyNumberFormat="1" applyFont="1" applyFill="1" applyBorder="1" applyAlignment="1">
      <alignment/>
    </xf>
    <xf numFmtId="228" fontId="9" fillId="0" borderId="0" xfId="0" applyNumberFormat="1" applyFont="1" applyFill="1" applyAlignment="1">
      <alignment/>
    </xf>
    <xf numFmtId="228" fontId="9" fillId="2" borderId="31" xfId="0" applyNumberFormat="1" applyFont="1" applyFill="1" applyBorder="1" applyAlignment="1">
      <alignment/>
    </xf>
    <xf numFmtId="228" fontId="15" fillId="0" borderId="0" xfId="0" applyNumberFormat="1" applyFont="1" applyFill="1" applyBorder="1" applyAlignment="1">
      <alignment/>
    </xf>
    <xf numFmtId="228" fontId="15" fillId="2" borderId="30" xfId="0" applyNumberFormat="1" applyFont="1" applyFill="1" applyBorder="1" applyAlignment="1">
      <alignment/>
    </xf>
    <xf numFmtId="228" fontId="4" fillId="2" borderId="31" xfId="0" applyNumberFormat="1" applyFont="1" applyFill="1" applyBorder="1" applyAlignment="1">
      <alignment/>
    </xf>
    <xf numFmtId="228" fontId="15" fillId="2" borderId="31" xfId="0" applyNumberFormat="1" applyFont="1" applyFill="1" applyBorder="1" applyAlignment="1">
      <alignment/>
    </xf>
    <xf numFmtId="228" fontId="9" fillId="0" borderId="0" xfId="0" applyNumberFormat="1" applyFont="1" applyAlignment="1">
      <alignment/>
    </xf>
    <xf numFmtId="228" fontId="15" fillId="5" borderId="5" xfId="0" applyNumberFormat="1" applyFont="1" applyFill="1" applyBorder="1" applyAlignment="1">
      <alignment/>
    </xf>
    <xf numFmtId="228" fontId="9" fillId="2" borderId="13" xfId="0" applyNumberFormat="1" applyFont="1" applyFill="1" applyBorder="1" applyAlignment="1">
      <alignment/>
    </xf>
    <xf numFmtId="228" fontId="9" fillId="2" borderId="2" xfId="0" applyNumberFormat="1" applyFont="1" applyFill="1" applyBorder="1" applyAlignment="1">
      <alignment/>
    </xf>
    <xf numFmtId="228" fontId="15" fillId="2" borderId="13" xfId="0" applyNumberFormat="1" applyFont="1" applyFill="1" applyBorder="1" applyAlignment="1">
      <alignment/>
    </xf>
    <xf numFmtId="228" fontId="4" fillId="2" borderId="2" xfId="0" applyNumberFormat="1" applyFont="1" applyFill="1" applyBorder="1" applyAlignment="1">
      <alignment/>
    </xf>
    <xf numFmtId="228" fontId="15" fillId="2" borderId="2" xfId="0" applyNumberFormat="1" applyFont="1" applyFill="1" applyBorder="1" applyAlignment="1">
      <alignment/>
    </xf>
    <xf numFmtId="0" fontId="25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9" fillId="3" borderId="8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9" fillId="0" borderId="8" xfId="0" applyNumberFormat="1" applyFont="1" applyBorder="1" applyAlignment="1" applyProtection="1">
      <alignment horizontal="right" vertical="center" wrapText="1"/>
      <protection hidden="1"/>
    </xf>
    <xf numFmtId="0" fontId="9" fillId="4" borderId="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" xfId="0" applyNumberFormat="1" applyFont="1" applyBorder="1" applyAlignment="1" applyProtection="1">
      <alignment horizontal="right" vertical="center" wrapText="1"/>
      <protection hidden="1"/>
    </xf>
    <xf numFmtId="0" fontId="9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9" xfId="0" applyNumberFormat="1" applyFont="1" applyBorder="1" applyAlignment="1" applyProtection="1">
      <alignment horizontal="right" vertical="center" wrapText="1"/>
      <protection hidden="1"/>
    </xf>
    <xf numFmtId="0" fontId="9" fillId="4" borderId="9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8" xfId="0" applyNumberFormat="1" applyFont="1" applyBorder="1" applyAlignment="1" applyProtection="1">
      <alignment horizontal="right" vertical="center" wrapText="1"/>
      <protection hidden="1"/>
    </xf>
    <xf numFmtId="0" fontId="15" fillId="4" borderId="8" xfId="0" applyNumberFormat="1" applyFont="1" applyFill="1" applyBorder="1" applyAlignment="1" applyProtection="1">
      <alignment horizontal="right" vertical="center" wrapText="1"/>
      <protection hidden="1"/>
    </xf>
    <xf numFmtId="235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wrapText="1"/>
    </xf>
    <xf numFmtId="235" fontId="4" fillId="0" borderId="0" xfId="0" applyNumberFormat="1" applyFont="1" applyFill="1" applyAlignment="1" quotePrefix="1">
      <alignment vertical="center"/>
    </xf>
    <xf numFmtId="235" fontId="4" fillId="0" borderId="0" xfId="0" applyNumberFormat="1" applyFont="1" applyFill="1" applyAlignment="1">
      <alignment vertical="center"/>
    </xf>
    <xf numFmtId="0" fontId="30" fillId="0" borderId="11" xfId="0" applyFont="1" applyFill="1" applyBorder="1" applyAlignment="1">
      <alignment horizontal="justify" wrapText="1"/>
    </xf>
    <xf numFmtId="235" fontId="28" fillId="0" borderId="10" xfId="0" applyNumberFormat="1" applyFont="1" applyFill="1" applyBorder="1" applyAlignment="1">
      <alignment/>
    </xf>
    <xf numFmtId="235" fontId="28" fillId="0" borderId="2" xfId="0" applyNumberFormat="1" applyFont="1" applyFill="1" applyBorder="1" applyAlignment="1">
      <alignment horizontal="right" vertical="center"/>
    </xf>
    <xf numFmtId="235" fontId="28" fillId="0" borderId="15" xfId="0" applyNumberFormat="1" applyFont="1" applyFill="1" applyBorder="1" applyAlignment="1">
      <alignment/>
    </xf>
    <xf numFmtId="235" fontId="4" fillId="0" borderId="22" xfId="0" applyNumberFormat="1" applyFont="1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0" fontId="5" fillId="0" borderId="9" xfId="0" applyNumberFormat="1" applyFont="1" applyBorder="1" applyAlignment="1" applyProtection="1">
      <alignment horizontal="right" vertical="center" wrapText="1"/>
      <protection hidden="1"/>
    </xf>
    <xf numFmtId="0" fontId="5" fillId="4" borderId="9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264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4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1" fontId="2" fillId="0" borderId="8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186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267" fontId="2" fillId="2" borderId="8" xfId="0" applyNumberFormat="1" applyFont="1" applyFill="1" applyBorder="1" applyAlignment="1">
      <alignment vertical="center"/>
    </xf>
    <xf numFmtId="268" fontId="2" fillId="2" borderId="8" xfId="0" applyNumberFormat="1" applyFont="1" applyFill="1" applyBorder="1" applyAlignment="1">
      <alignment horizontal="right" vertical="center"/>
    </xf>
    <xf numFmtId="268" fontId="1" fillId="2" borderId="8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267" fontId="2" fillId="2" borderId="8" xfId="0" applyNumberFormat="1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/>
      <protection locked="0"/>
    </xf>
    <xf numFmtId="267" fontId="1" fillId="2" borderId="8" xfId="0" applyNumberFormat="1" applyFont="1" applyFill="1" applyBorder="1" applyAlignment="1" applyProtection="1">
      <alignment/>
      <protection locked="0"/>
    </xf>
    <xf numFmtId="268" fontId="2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24" xfId="0" applyFont="1" applyFill="1" applyBorder="1" applyAlignment="1" applyProtection="1">
      <alignment horizontal="justify" wrapText="1"/>
      <protection/>
    </xf>
    <xf numFmtId="0" fontId="1" fillId="2" borderId="1" xfId="0" applyFont="1" applyFill="1" applyBorder="1" applyAlignment="1" applyProtection="1">
      <alignment horizontal="justify" wrapText="1"/>
      <protection/>
    </xf>
    <xf numFmtId="164" fontId="4" fillId="2" borderId="16" xfId="0" applyNumberFormat="1" applyFont="1" applyFill="1" applyBorder="1" applyAlignment="1" applyProtection="1">
      <alignment horizontal="center"/>
      <protection/>
    </xf>
    <xf numFmtId="269" fontId="9" fillId="2" borderId="27" xfId="0" applyNumberFormat="1" applyFont="1" applyFill="1" applyBorder="1" applyAlignment="1" applyProtection="1">
      <alignment horizontal="right" vertical="center"/>
      <protection locked="0"/>
    </xf>
    <xf numFmtId="269" fontId="9" fillId="2" borderId="7" xfId="0" applyNumberFormat="1" applyFont="1" applyFill="1" applyBorder="1" applyAlignment="1" applyProtection="1">
      <alignment horizontal="right" vertical="center"/>
      <protection locked="0"/>
    </xf>
    <xf numFmtId="269" fontId="1" fillId="0" borderId="0" xfId="0" applyNumberFormat="1" applyFont="1" applyAlignment="1" applyProtection="1">
      <alignment/>
      <protection/>
    </xf>
    <xf numFmtId="269" fontId="9" fillId="2" borderId="32" xfId="0" applyNumberFormat="1" applyFont="1" applyFill="1" applyBorder="1" applyAlignment="1" applyProtection="1">
      <alignment horizontal="right" vertical="center"/>
      <protection locked="0"/>
    </xf>
    <xf numFmtId="269" fontId="9" fillId="2" borderId="11" xfId="0" applyNumberFormat="1" applyFont="1" applyFill="1" applyBorder="1" applyAlignment="1" applyProtection="1">
      <alignment horizontal="right" vertical="center"/>
      <protection locked="0"/>
    </xf>
    <xf numFmtId="269" fontId="9" fillId="4" borderId="32" xfId="0" applyNumberFormat="1" applyFont="1" applyFill="1" applyBorder="1" applyAlignment="1" applyProtection="1">
      <alignment horizontal="right" vertical="center"/>
      <protection locked="0"/>
    </xf>
    <xf numFmtId="269" fontId="9" fillId="4" borderId="11" xfId="0" applyNumberFormat="1" applyFont="1" applyFill="1" applyBorder="1" applyAlignment="1" applyProtection="1">
      <alignment horizontal="right" vertical="center"/>
      <protection locked="0"/>
    </xf>
    <xf numFmtId="269" fontId="9" fillId="2" borderId="33" xfId="0" applyNumberFormat="1" applyFont="1" applyFill="1" applyBorder="1" applyAlignment="1" applyProtection="1">
      <alignment horizontal="right" vertical="center"/>
      <protection locked="0"/>
    </xf>
    <xf numFmtId="269" fontId="9" fillId="2" borderId="25" xfId="0" applyNumberFormat="1" applyFont="1" applyFill="1" applyBorder="1" applyAlignment="1" applyProtection="1">
      <alignment horizontal="right" vertical="center"/>
      <protection locked="0"/>
    </xf>
    <xf numFmtId="269" fontId="9" fillId="4" borderId="27" xfId="0" applyNumberFormat="1" applyFont="1" applyFill="1" applyBorder="1" applyAlignment="1" applyProtection="1">
      <alignment horizontal="right" vertical="center"/>
      <protection locked="0"/>
    </xf>
    <xf numFmtId="269" fontId="9" fillId="4" borderId="7" xfId="0" applyNumberFormat="1" applyFont="1" applyFill="1" applyBorder="1" applyAlignment="1" applyProtection="1">
      <alignment horizontal="right" vertical="center"/>
      <protection locked="0"/>
    </xf>
    <xf numFmtId="269" fontId="9" fillId="0" borderId="0" xfId="0" applyNumberFormat="1" applyFont="1" applyFill="1" applyBorder="1" applyAlignment="1" applyProtection="1">
      <alignment horizontal="right" vertical="center"/>
      <protection/>
    </xf>
    <xf numFmtId="269" fontId="1" fillId="0" borderId="0" xfId="0" applyNumberFormat="1" applyFont="1" applyFill="1" applyAlignment="1" applyProtection="1">
      <alignment/>
      <protection/>
    </xf>
    <xf numFmtId="269" fontId="9" fillId="0" borderId="0" xfId="0" applyNumberFormat="1" applyFont="1" applyFill="1" applyAlignment="1" applyProtection="1">
      <alignment/>
      <protection/>
    </xf>
    <xf numFmtId="269" fontId="9" fillId="2" borderId="34" xfId="0" applyNumberFormat="1" applyFont="1" applyFill="1" applyBorder="1" applyAlignment="1" applyProtection="1">
      <alignment horizontal="right" vertical="center"/>
      <protection locked="0"/>
    </xf>
    <xf numFmtId="269" fontId="9" fillId="2" borderId="19" xfId="0" applyNumberFormat="1" applyFont="1" applyFill="1" applyBorder="1" applyAlignment="1" applyProtection="1">
      <alignment horizontal="right" vertical="center"/>
      <protection locked="0"/>
    </xf>
    <xf numFmtId="269" fontId="9" fillId="2" borderId="32" xfId="0" applyNumberFormat="1" applyFont="1" applyFill="1" applyBorder="1" applyAlignment="1" applyProtection="1">
      <alignment horizontal="right"/>
      <protection locked="0"/>
    </xf>
    <xf numFmtId="269" fontId="9" fillId="2" borderId="11" xfId="0" applyNumberFormat="1" applyFont="1" applyFill="1" applyBorder="1" applyAlignment="1" applyProtection="1">
      <alignment horizontal="right"/>
      <protection locked="0"/>
    </xf>
    <xf numFmtId="269" fontId="1" fillId="0" borderId="0" xfId="0" applyNumberFormat="1" applyFont="1" applyFill="1" applyBorder="1" applyAlignment="1" applyProtection="1">
      <alignment/>
      <protection/>
    </xf>
    <xf numFmtId="269" fontId="15" fillId="2" borderId="9" xfId="0" applyNumberFormat="1" applyFont="1" applyFill="1" applyBorder="1" applyAlignment="1" applyProtection="1">
      <alignment/>
      <protection locked="0"/>
    </xf>
    <xf numFmtId="269" fontId="15" fillId="4" borderId="6" xfId="0" applyNumberFormat="1" applyFont="1" applyFill="1" applyBorder="1" applyAlignment="1" applyProtection="1">
      <alignment/>
      <protection/>
    </xf>
    <xf numFmtId="269" fontId="15" fillId="4" borderId="7" xfId="0" applyNumberFormat="1" applyFont="1" applyFill="1" applyBorder="1" applyAlignment="1" applyProtection="1">
      <alignment/>
      <protection/>
    </xf>
    <xf numFmtId="269" fontId="9" fillId="0" borderId="0" xfId="0" applyNumberFormat="1" applyFont="1" applyAlignment="1" applyProtection="1">
      <alignment/>
      <protection/>
    </xf>
    <xf numFmtId="269" fontId="9" fillId="2" borderId="33" xfId="0" applyNumberFormat="1" applyFont="1" applyFill="1" applyBorder="1" applyAlignment="1" applyProtection="1">
      <alignment/>
      <protection locked="0"/>
    </xf>
    <xf numFmtId="269" fontId="9" fillId="2" borderId="24" xfId="0" applyNumberFormat="1" applyFont="1" applyFill="1" applyBorder="1" applyAlignment="1" applyProtection="1">
      <alignment/>
      <protection locked="0"/>
    </xf>
    <xf numFmtId="269" fontId="9" fillId="2" borderId="32" xfId="0" applyNumberFormat="1" applyFont="1" applyFill="1" applyBorder="1" applyAlignment="1" applyProtection="1">
      <alignment/>
      <protection locked="0"/>
    </xf>
    <xf numFmtId="269" fontId="9" fillId="2" borderId="9" xfId="0" applyNumberFormat="1" applyFont="1" applyFill="1" applyBorder="1" applyAlignment="1" applyProtection="1">
      <alignment/>
      <protection locked="0"/>
    </xf>
    <xf numFmtId="269" fontId="9" fillId="2" borderId="34" xfId="0" applyNumberFormat="1" applyFont="1" applyFill="1" applyBorder="1" applyAlignment="1" applyProtection="1">
      <alignment/>
      <protection locked="0"/>
    </xf>
    <xf numFmtId="269" fontId="9" fillId="2" borderId="1" xfId="0" applyNumberFormat="1" applyFont="1" applyFill="1" applyBorder="1" applyAlignment="1" applyProtection="1">
      <alignment/>
      <protection locked="0"/>
    </xf>
    <xf numFmtId="269" fontId="15" fillId="4" borderId="32" xfId="0" applyNumberFormat="1" applyFont="1" applyFill="1" applyBorder="1" applyAlignment="1" applyProtection="1">
      <alignment/>
      <protection/>
    </xf>
    <xf numFmtId="269" fontId="15" fillId="4" borderId="9" xfId="0" applyNumberFormat="1" applyFont="1" applyFill="1" applyBorder="1" applyAlignment="1" applyProtection="1">
      <alignment/>
      <protection/>
    </xf>
    <xf numFmtId="269" fontId="15" fillId="0" borderId="0" xfId="0" applyNumberFormat="1" applyFont="1" applyAlignment="1" applyProtection="1">
      <alignment/>
      <protection/>
    </xf>
    <xf numFmtId="269" fontId="4" fillId="2" borderId="32" xfId="0" applyNumberFormat="1" applyFont="1" applyFill="1" applyBorder="1" applyAlignment="1" applyProtection="1">
      <alignment/>
      <protection locked="0"/>
    </xf>
    <xf numFmtId="269" fontId="4" fillId="2" borderId="9" xfId="0" applyNumberFormat="1" applyFont="1" applyFill="1" applyBorder="1" applyAlignment="1" applyProtection="1">
      <alignment/>
      <protection locked="0"/>
    </xf>
    <xf numFmtId="269" fontId="4" fillId="2" borderId="34" xfId="0" applyNumberFormat="1" applyFont="1" applyFill="1" applyBorder="1" applyAlignment="1" applyProtection="1">
      <alignment/>
      <protection locked="0"/>
    </xf>
    <xf numFmtId="269" fontId="4" fillId="2" borderId="1" xfId="0" applyNumberFormat="1" applyFont="1" applyFill="1" applyBorder="1" applyAlignment="1" applyProtection="1">
      <alignment/>
      <protection locked="0"/>
    </xf>
    <xf numFmtId="269" fontId="3" fillId="2" borderId="32" xfId="0" applyNumberFormat="1" applyFont="1" applyFill="1" applyBorder="1" applyAlignment="1" applyProtection="1">
      <alignment/>
      <protection locked="0"/>
    </xf>
    <xf numFmtId="269" fontId="3" fillId="2" borderId="9" xfId="0" applyNumberFormat="1" applyFont="1" applyFill="1" applyBorder="1" applyAlignment="1" applyProtection="1">
      <alignment/>
      <protection locked="0"/>
    </xf>
    <xf numFmtId="269" fontId="9" fillId="0" borderId="0" xfId="0" applyNumberFormat="1" applyFont="1" applyBorder="1" applyAlignment="1" applyProtection="1">
      <alignment/>
      <protection/>
    </xf>
    <xf numFmtId="269" fontId="15" fillId="4" borderId="32" xfId="0" applyNumberFormat="1" applyFont="1" applyFill="1" applyBorder="1" applyAlignment="1" applyProtection="1">
      <alignment vertical="center"/>
      <protection/>
    </xf>
    <xf numFmtId="269" fontId="15" fillId="4" borderId="9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justify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269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center" vertical="center"/>
    </xf>
    <xf numFmtId="168" fontId="1" fillId="3" borderId="5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vertical="center"/>
    </xf>
    <xf numFmtId="168" fontId="2" fillId="3" borderId="6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wrapText="1"/>
    </xf>
    <xf numFmtId="225" fontId="9" fillId="2" borderId="6" xfId="0" applyNumberFormat="1" applyFont="1" applyFill="1" applyBorder="1" applyAlignment="1">
      <alignment horizontal="right" vertical="center"/>
    </xf>
    <xf numFmtId="225" fontId="9" fillId="2" borderId="7" xfId="0" applyNumberFormat="1" applyFont="1" applyFill="1" applyBorder="1" applyAlignment="1">
      <alignment horizontal="right" vertical="center"/>
    </xf>
    <xf numFmtId="272" fontId="34" fillId="2" borderId="10" xfId="0" applyNumberFormat="1" applyFont="1" applyFill="1" applyBorder="1" applyAlignment="1">
      <alignment vertical="center"/>
    </xf>
    <xf numFmtId="272" fontId="34" fillId="2" borderId="11" xfId="0" applyNumberFormat="1" applyFont="1" applyFill="1" applyBorder="1" applyAlignment="1">
      <alignment vertical="center"/>
    </xf>
    <xf numFmtId="272" fontId="9" fillId="2" borderId="11" xfId="0" applyNumberFormat="1" applyFont="1" applyFill="1" applyBorder="1" applyAlignment="1">
      <alignment vertical="center"/>
    </xf>
    <xf numFmtId="272" fontId="9" fillId="2" borderId="10" xfId="0" applyNumberFormat="1" applyFont="1" applyFill="1" applyBorder="1" applyAlignment="1">
      <alignment vertical="center"/>
    </xf>
    <xf numFmtId="272" fontId="1" fillId="2" borderId="11" xfId="0" applyNumberFormat="1" applyFont="1" applyFill="1" applyBorder="1" applyAlignment="1">
      <alignment vertical="center"/>
    </xf>
    <xf numFmtId="272" fontId="27" fillId="2" borderId="11" xfId="0" applyNumberFormat="1" applyFont="1" applyFill="1" applyBorder="1" applyAlignment="1">
      <alignment vertical="center"/>
    </xf>
    <xf numFmtId="272" fontId="29" fillId="2" borderId="11" xfId="0" applyNumberFormat="1" applyFont="1" applyFill="1" applyBorder="1" applyAlignment="1">
      <alignment vertical="center"/>
    </xf>
    <xf numFmtId="272" fontId="1" fillId="2" borderId="25" xfId="0" applyNumberFormat="1" applyFont="1" applyFill="1" applyBorder="1" applyAlignment="1">
      <alignment vertical="center"/>
    </xf>
    <xf numFmtId="272" fontId="34" fillId="2" borderId="15" xfId="0" applyNumberFormat="1" applyFont="1" applyFill="1" applyBorder="1" applyAlignment="1">
      <alignment vertical="center"/>
    </xf>
    <xf numFmtId="272" fontId="34" fillId="2" borderId="25" xfId="0" applyNumberFormat="1" applyFont="1" applyFill="1" applyBorder="1" applyAlignment="1">
      <alignment vertical="center"/>
    </xf>
    <xf numFmtId="272" fontId="29" fillId="2" borderId="25" xfId="0" applyNumberFormat="1" applyFont="1" applyFill="1" applyBorder="1" applyAlignment="1">
      <alignment vertical="center"/>
    </xf>
    <xf numFmtId="272" fontId="9" fillId="2" borderId="15" xfId="0" applyNumberFormat="1" applyFont="1" applyFill="1" applyBorder="1" applyAlignment="1">
      <alignment vertical="center"/>
    </xf>
    <xf numFmtId="272" fontId="9" fillId="2" borderId="36" xfId="0" applyNumberFormat="1" applyFont="1" applyFill="1" applyBorder="1" applyAlignment="1">
      <alignment vertical="center"/>
    </xf>
    <xf numFmtId="272" fontId="27" fillId="2" borderId="26" xfId="0" applyNumberFormat="1" applyFont="1" applyFill="1" applyBorder="1" applyAlignment="1">
      <alignment vertical="center"/>
    </xf>
    <xf numFmtId="272" fontId="29" fillId="2" borderId="26" xfId="0" applyNumberFormat="1" applyFont="1" applyFill="1" applyBorder="1" applyAlignment="1">
      <alignment vertical="center"/>
    </xf>
    <xf numFmtId="272" fontId="1" fillId="2" borderId="26" xfId="0" applyNumberFormat="1" applyFont="1" applyFill="1" applyBorder="1" applyAlignment="1">
      <alignment vertical="center"/>
    </xf>
    <xf numFmtId="272" fontId="9" fillId="2" borderId="2" xfId="0" applyNumberFormat="1" applyFont="1" applyFill="1" applyBorder="1" applyAlignment="1">
      <alignment vertical="center"/>
    </xf>
    <xf numFmtId="273" fontId="9" fillId="2" borderId="10" xfId="0" applyNumberFormat="1" applyFont="1" applyFill="1" applyBorder="1" applyAlignment="1">
      <alignment vertical="center"/>
    </xf>
    <xf numFmtId="273" fontId="27" fillId="2" borderId="11" xfId="0" applyNumberFormat="1" applyFont="1" applyFill="1" applyBorder="1" applyAlignment="1">
      <alignment vertical="center"/>
    </xf>
    <xf numFmtId="273" fontId="29" fillId="2" borderId="11" xfId="0" applyNumberFormat="1" applyFont="1" applyFill="1" applyBorder="1" applyAlignment="1">
      <alignment vertical="center"/>
    </xf>
    <xf numFmtId="273" fontId="1" fillId="2" borderId="11" xfId="0" applyNumberFormat="1" applyFont="1" applyFill="1" applyBorder="1" applyAlignment="1">
      <alignment vertical="center"/>
    </xf>
    <xf numFmtId="215" fontId="24" fillId="3" borderId="3" xfId="0" applyNumberFormat="1" applyFont="1" applyFill="1" applyBorder="1" applyAlignment="1" applyProtection="1">
      <alignment horizontal="center"/>
      <protection locked="0"/>
    </xf>
    <xf numFmtId="215" fontId="24" fillId="3" borderId="37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wrapText="1"/>
      <protection/>
    </xf>
    <xf numFmtId="4" fontId="4" fillId="2" borderId="9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left" wrapText="1"/>
    </xf>
    <xf numFmtId="229" fontId="15" fillId="2" borderId="1" xfId="0" applyNumberFormat="1" applyFont="1" applyFill="1" applyBorder="1" applyAlignment="1" applyProtection="1">
      <alignment horizontal="center" vertical="center"/>
      <protection hidden="1"/>
    </xf>
    <xf numFmtId="210" fontId="4" fillId="2" borderId="10" xfId="0" applyNumberFormat="1" applyFont="1" applyFill="1" applyBorder="1" applyAlignment="1">
      <alignment horizontal="center" vertical="center" wrapText="1"/>
    </xf>
    <xf numFmtId="210" fontId="4" fillId="2" borderId="2" xfId="0" applyNumberFormat="1" applyFont="1" applyFill="1" applyBorder="1" applyAlignment="1">
      <alignment horizontal="center" vertical="center" wrapText="1"/>
    </xf>
    <xf numFmtId="210" fontId="4" fillId="2" borderId="11" xfId="0" applyNumberFormat="1" applyFont="1" applyFill="1" applyBorder="1" applyAlignment="1">
      <alignment horizontal="center" vertical="center" wrapText="1"/>
    </xf>
    <xf numFmtId="195" fontId="15" fillId="2" borderId="9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231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221" fontId="1" fillId="2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35" fontId="3" fillId="0" borderId="0" xfId="0" applyNumberFormat="1" applyFont="1" applyFill="1" applyBorder="1" applyAlignment="1">
      <alignment horizontal="center" vertical="center"/>
    </xf>
    <xf numFmtId="221" fontId="1" fillId="2" borderId="13" xfId="0" applyNumberFormat="1" applyFont="1" applyFill="1" applyBorder="1" applyAlignment="1">
      <alignment horizontal="right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225" fontId="9" fillId="2" borderId="2" xfId="0" applyNumberFormat="1" applyFont="1" applyFill="1" applyBorder="1" applyAlignment="1">
      <alignment horizontal="right" vertical="center"/>
    </xf>
    <xf numFmtId="225" fontId="9" fillId="2" borderId="11" xfId="0" applyNumberFormat="1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225" fontId="9" fillId="2" borderId="3" xfId="0" applyNumberFormat="1" applyFont="1" applyFill="1" applyBorder="1" applyAlignment="1">
      <alignment horizontal="right" vertical="center"/>
    </xf>
    <xf numFmtId="225" fontId="9" fillId="2" borderId="37" xfId="0" applyNumberFormat="1" applyFont="1" applyFill="1" applyBorder="1" applyAlignment="1">
      <alignment horizontal="right" vertical="center"/>
    </xf>
    <xf numFmtId="225" fontId="9" fillId="2" borderId="6" xfId="0" applyNumberFormat="1" applyFont="1" applyFill="1" applyBorder="1" applyAlignment="1">
      <alignment horizontal="right" vertical="center"/>
    </xf>
    <xf numFmtId="225" fontId="9" fillId="2" borderId="7" xfId="0" applyNumberFormat="1" applyFont="1" applyFill="1" applyBorder="1" applyAlignment="1">
      <alignment horizontal="right" vertical="center"/>
    </xf>
    <xf numFmtId="225" fontId="9" fillId="2" borderId="13" xfId="0" applyNumberFormat="1" applyFont="1" applyFill="1" applyBorder="1" applyAlignment="1">
      <alignment horizontal="right" vertical="center"/>
    </xf>
    <xf numFmtId="225" fontId="9" fillId="2" borderId="19" xfId="0" applyNumberFormat="1" applyFont="1" applyFill="1" applyBorder="1" applyAlignment="1">
      <alignment horizontal="right" vertical="center"/>
    </xf>
    <xf numFmtId="0" fontId="1" fillId="2" borderId="3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225" fontId="9" fillId="2" borderId="0" xfId="0" applyNumberFormat="1" applyFont="1" applyFill="1" applyBorder="1" applyAlignment="1">
      <alignment horizontal="right" vertical="center"/>
    </xf>
    <xf numFmtId="225" fontId="9" fillId="2" borderId="4" xfId="0" applyNumberFormat="1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221" fontId="2" fillId="4" borderId="6" xfId="0" applyNumberFormat="1" applyFont="1" applyFill="1" applyBorder="1" applyAlignment="1">
      <alignment horizontal="right" vertical="center"/>
    </xf>
    <xf numFmtId="225" fontId="15" fillId="4" borderId="6" xfId="0" applyNumberFormat="1" applyFont="1" applyFill="1" applyBorder="1" applyAlignment="1">
      <alignment horizontal="right" vertical="center"/>
    </xf>
    <xf numFmtId="225" fontId="15" fillId="4" borderId="7" xfId="0" applyNumberFormat="1" applyFont="1" applyFill="1" applyBorder="1" applyAlignment="1">
      <alignment horizontal="right" vertical="center"/>
    </xf>
    <xf numFmtId="270" fontId="15" fillId="4" borderId="5" xfId="0" applyNumberFormat="1" applyFont="1" applyFill="1" applyBorder="1" applyAlignment="1">
      <alignment horizontal="right" vertical="center"/>
    </xf>
    <xf numFmtId="270" fontId="15" fillId="4" borderId="7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wrapText="1"/>
    </xf>
    <xf numFmtId="225" fontId="15" fillId="2" borderId="3" xfId="0" applyNumberFormat="1" applyFont="1" applyFill="1" applyBorder="1" applyAlignment="1">
      <alignment horizontal="right" vertical="center"/>
    </xf>
    <xf numFmtId="225" fontId="15" fillId="2" borderId="37" xfId="0" applyNumberFormat="1" applyFont="1" applyFill="1" applyBorder="1" applyAlignment="1">
      <alignment horizontal="right" vertical="center"/>
    </xf>
    <xf numFmtId="225" fontId="15" fillId="2" borderId="6" xfId="0" applyNumberFormat="1" applyFont="1" applyFill="1" applyBorder="1" applyAlignment="1">
      <alignment horizontal="right" vertical="center"/>
    </xf>
    <xf numFmtId="225" fontId="15" fillId="2" borderId="7" xfId="0" applyNumberFormat="1" applyFont="1" applyFill="1" applyBorder="1" applyAlignment="1">
      <alignment horizontal="righ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wrapText="1"/>
    </xf>
    <xf numFmtId="168" fontId="14" fillId="0" borderId="0" xfId="0" applyNumberFormat="1" applyFont="1" applyFill="1" applyBorder="1" applyAlignment="1">
      <alignment horizontal="right" wrapText="1"/>
    </xf>
    <xf numFmtId="0" fontId="15" fillId="0" borderId="8" xfId="0" applyFont="1" applyBorder="1" applyAlignment="1">
      <alignment horizontal="left" vertical="center" wrapText="1"/>
    </xf>
    <xf numFmtId="0" fontId="9" fillId="0" borderId="8" xfId="0" applyNumberFormat="1" applyFont="1" applyBorder="1" applyAlignment="1" applyProtection="1">
      <alignment horizontal="right" vertical="center" wrapText="1"/>
      <protection hidden="1"/>
    </xf>
    <xf numFmtId="0" fontId="9" fillId="4" borderId="8" xfId="0" applyNumberFormat="1" applyFont="1" applyFill="1" applyBorder="1" applyAlignment="1" applyProtection="1">
      <alignment horizontal="right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b val="0"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Rectangle 6"/>
        <xdr:cNvSpPr>
          <a:spLocks/>
        </xdr:cNvSpPr>
      </xdr:nvSpPr>
      <xdr:spPr>
        <a:xfrm>
          <a:off x="95250" y="857250"/>
          <a:ext cx="7705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2" name="Rectangle 7"/>
        <xdr:cNvSpPr>
          <a:spLocks/>
        </xdr:cNvSpPr>
      </xdr:nvSpPr>
      <xdr:spPr>
        <a:xfrm>
          <a:off x="95250" y="5972175"/>
          <a:ext cx="77057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5</xdr:col>
      <xdr:colOff>0</xdr:colOff>
      <xdr:row>76</xdr:row>
      <xdr:rowOff>0</xdr:rowOff>
    </xdr:to>
    <xdr:sp>
      <xdr:nvSpPr>
        <xdr:cNvPr id="3" name="Rectangle 12"/>
        <xdr:cNvSpPr>
          <a:spLocks/>
        </xdr:cNvSpPr>
      </xdr:nvSpPr>
      <xdr:spPr>
        <a:xfrm>
          <a:off x="95250" y="11610975"/>
          <a:ext cx="77057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33375" y="0"/>
          <a:ext cx="434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6200" y="5029200"/>
          <a:ext cx="9353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76200" y="6419850"/>
          <a:ext cx="9353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76200" y="7629525"/>
          <a:ext cx="9353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9</xdr:col>
      <xdr:colOff>0</xdr:colOff>
      <xdr:row>89</xdr:row>
      <xdr:rowOff>0</xdr:rowOff>
    </xdr:to>
    <xdr:sp>
      <xdr:nvSpPr>
        <xdr:cNvPr id="5" name="Rectangle 16"/>
        <xdr:cNvSpPr>
          <a:spLocks/>
        </xdr:cNvSpPr>
      </xdr:nvSpPr>
      <xdr:spPr>
        <a:xfrm>
          <a:off x="76200" y="14658975"/>
          <a:ext cx="93535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9525</xdr:rowOff>
    </xdr:from>
    <xdr:to>
      <xdr:col>9</xdr:col>
      <xdr:colOff>0</xdr:colOff>
      <xdr:row>100</xdr:row>
      <xdr:rowOff>323850</xdr:rowOff>
    </xdr:to>
    <xdr:sp>
      <xdr:nvSpPr>
        <xdr:cNvPr id="6" name="Rectangle 17"/>
        <xdr:cNvSpPr>
          <a:spLocks/>
        </xdr:cNvSpPr>
      </xdr:nvSpPr>
      <xdr:spPr>
        <a:xfrm>
          <a:off x="76200" y="18230850"/>
          <a:ext cx="9353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9</xdr:col>
      <xdr:colOff>0</xdr:colOff>
      <xdr:row>111</xdr:row>
      <xdr:rowOff>0</xdr:rowOff>
    </xdr:to>
    <xdr:sp>
      <xdr:nvSpPr>
        <xdr:cNvPr id="7" name="Rectangle 18"/>
        <xdr:cNvSpPr>
          <a:spLocks/>
        </xdr:cNvSpPr>
      </xdr:nvSpPr>
      <xdr:spPr>
        <a:xfrm>
          <a:off x="76200" y="18392775"/>
          <a:ext cx="93535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9</xdr:col>
      <xdr:colOff>0</xdr:colOff>
      <xdr:row>133</xdr:row>
      <xdr:rowOff>19050</xdr:rowOff>
    </xdr:to>
    <xdr:sp>
      <xdr:nvSpPr>
        <xdr:cNvPr id="8" name="Rectangle 25"/>
        <xdr:cNvSpPr>
          <a:spLocks/>
        </xdr:cNvSpPr>
      </xdr:nvSpPr>
      <xdr:spPr>
        <a:xfrm>
          <a:off x="76200" y="22307550"/>
          <a:ext cx="93535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9</xdr:col>
      <xdr:colOff>0</xdr:colOff>
      <xdr:row>120</xdr:row>
      <xdr:rowOff>0</xdr:rowOff>
    </xdr:to>
    <xdr:sp>
      <xdr:nvSpPr>
        <xdr:cNvPr id="9" name="Rectangle 33"/>
        <xdr:cNvSpPr>
          <a:spLocks/>
        </xdr:cNvSpPr>
      </xdr:nvSpPr>
      <xdr:spPr>
        <a:xfrm>
          <a:off x="76200" y="20402550"/>
          <a:ext cx="9353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9</xdr:col>
      <xdr:colOff>0</xdr:colOff>
      <xdr:row>145</xdr:row>
      <xdr:rowOff>19050</xdr:rowOff>
    </xdr:to>
    <xdr:sp>
      <xdr:nvSpPr>
        <xdr:cNvPr id="10" name="Rectangle 43"/>
        <xdr:cNvSpPr>
          <a:spLocks/>
        </xdr:cNvSpPr>
      </xdr:nvSpPr>
      <xdr:spPr>
        <a:xfrm>
          <a:off x="76200" y="24812625"/>
          <a:ext cx="935355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55"/>
  <sheetViews>
    <sheetView showGridLines="0" showZeros="0" tabSelected="1" zoomScale="90" zoomScaleNormal="90" workbookViewId="0" topLeftCell="A98">
      <selection activeCell="D132" sqref="D132"/>
    </sheetView>
  </sheetViews>
  <sheetFormatPr defaultColWidth="9.00390625" defaultRowHeight="12.75"/>
  <cols>
    <col min="1" max="1" width="1.25" style="126" customWidth="1"/>
    <col min="2" max="2" width="72.00390625" style="168" customWidth="1"/>
    <col min="3" max="3" width="5.625" style="169" customWidth="1"/>
    <col min="4" max="5" width="11.75390625" style="126" customWidth="1"/>
    <col min="6" max="6" width="1.12109375" style="126" customWidth="1"/>
    <col min="7" max="16384" width="9.125" style="126" customWidth="1"/>
  </cols>
  <sheetData>
    <row r="1" spans="1:7" ht="15.75">
      <c r="A1" s="124"/>
      <c r="B1" s="186" t="s">
        <v>224</v>
      </c>
      <c r="C1" s="125" t="s">
        <v>9</v>
      </c>
      <c r="D1" s="351">
        <v>38504</v>
      </c>
      <c r="E1" s="352"/>
      <c r="F1" s="124"/>
      <c r="G1" s="126" t="s">
        <v>201</v>
      </c>
    </row>
    <row r="2" spans="1:6" ht="21.75" customHeight="1">
      <c r="A2" s="124"/>
      <c r="B2" s="127"/>
      <c r="C2" s="128"/>
      <c r="D2" s="128"/>
      <c r="E2" s="187">
        <v>1</v>
      </c>
      <c r="F2" s="124"/>
    </row>
    <row r="3" spans="1:6" ht="30" customHeight="1">
      <c r="A3" s="124"/>
      <c r="B3" s="212" t="s">
        <v>104</v>
      </c>
      <c r="C3" s="126"/>
      <c r="E3" s="211" t="s">
        <v>148</v>
      </c>
      <c r="F3" s="124"/>
    </row>
    <row r="4" spans="1:6" ht="12.75">
      <c r="A4" s="124"/>
      <c r="B4" s="353" t="s">
        <v>4</v>
      </c>
      <c r="C4" s="353"/>
      <c r="D4" s="353"/>
      <c r="E4" s="353"/>
      <c r="F4" s="124"/>
    </row>
    <row r="5" spans="1:6" ht="3" customHeight="1">
      <c r="A5" s="124"/>
      <c r="B5" s="129"/>
      <c r="C5" s="130"/>
      <c r="D5" s="124"/>
      <c r="E5" s="124"/>
      <c r="F5" s="124"/>
    </row>
    <row r="6" spans="1:6" ht="12.75">
      <c r="A6" s="124"/>
      <c r="B6" s="131" t="s">
        <v>1</v>
      </c>
      <c r="C6" s="132"/>
      <c r="D6" s="133" t="s">
        <v>40</v>
      </c>
      <c r="E6" s="133"/>
      <c r="F6" s="124"/>
    </row>
    <row r="7" spans="1:6" ht="12.75">
      <c r="A7" s="124"/>
      <c r="B7" s="134" t="s">
        <v>41</v>
      </c>
      <c r="C7" s="135">
        <v>110</v>
      </c>
      <c r="D7" s="308"/>
      <c r="E7" s="309"/>
      <c r="F7" s="124"/>
    </row>
    <row r="8" spans="1:6" ht="12.75">
      <c r="A8" s="124"/>
      <c r="B8" s="134" t="s">
        <v>24</v>
      </c>
      <c r="C8" s="135">
        <v>120</v>
      </c>
      <c r="D8" s="310"/>
      <c r="E8" s="311"/>
      <c r="F8" s="124">
        <v>44</v>
      </c>
    </row>
    <row r="9" spans="1:6" s="138" customFormat="1" ht="12.75">
      <c r="A9" s="136"/>
      <c r="B9" s="134" t="s">
        <v>42</v>
      </c>
      <c r="C9" s="137">
        <v>130</v>
      </c>
      <c r="D9" s="310"/>
      <c r="E9" s="311"/>
      <c r="F9" s="136"/>
    </row>
    <row r="10" spans="1:6" s="138" customFormat="1" ht="12.75">
      <c r="A10" s="136"/>
      <c r="B10" s="134" t="s">
        <v>43</v>
      </c>
      <c r="C10" s="135">
        <v>140</v>
      </c>
      <c r="D10" s="310">
        <v>68069</v>
      </c>
      <c r="E10" s="311">
        <v>68069</v>
      </c>
      <c r="F10" s="136"/>
    </row>
    <row r="11" spans="1:6" ht="12.75">
      <c r="A11" s="124"/>
      <c r="B11" s="134" t="s">
        <v>0</v>
      </c>
      <c r="C11" s="135">
        <v>150</v>
      </c>
      <c r="D11" s="312"/>
      <c r="E11" s="313"/>
      <c r="F11" s="124"/>
    </row>
    <row r="12" spans="1:6" ht="12.75">
      <c r="A12" s="124"/>
      <c r="B12" s="139" t="s">
        <v>17</v>
      </c>
      <c r="C12" s="140">
        <v>190</v>
      </c>
      <c r="D12" s="296">
        <f>SUM(D7:D11)</f>
        <v>68069</v>
      </c>
      <c r="E12" s="297">
        <f>SUM(E7:E11)</f>
        <v>68069</v>
      </c>
      <c r="F12" s="124"/>
    </row>
    <row r="13" spans="1:6" s="144" customFormat="1" ht="3" customHeight="1">
      <c r="A13" s="141"/>
      <c r="B13" s="142"/>
      <c r="C13" s="143"/>
      <c r="D13" s="314"/>
      <c r="E13" s="314"/>
      <c r="F13" s="141"/>
    </row>
    <row r="14" spans="1:6" ht="12.75">
      <c r="A14" s="124"/>
      <c r="B14" s="145" t="s">
        <v>2</v>
      </c>
      <c r="C14" s="146"/>
      <c r="D14" s="314"/>
      <c r="E14" s="314"/>
      <c r="F14" s="124"/>
    </row>
    <row r="15" spans="1:6" ht="12.75">
      <c r="A15" s="124"/>
      <c r="B15" s="134" t="s">
        <v>44</v>
      </c>
      <c r="C15" s="135">
        <v>210</v>
      </c>
      <c r="D15" s="305">
        <f>SUM(D16:D19)</f>
        <v>0</v>
      </c>
      <c r="E15" s="306">
        <f>SUM(E16:E19)</f>
        <v>0</v>
      </c>
      <c r="F15" s="124"/>
    </row>
    <row r="16" spans="1:6" s="138" customFormat="1" ht="11.25">
      <c r="A16" s="136"/>
      <c r="B16" s="147" t="s">
        <v>162</v>
      </c>
      <c r="C16" s="137">
        <v>211</v>
      </c>
      <c r="D16" s="311"/>
      <c r="E16" s="311"/>
      <c r="F16" s="136"/>
    </row>
    <row r="17" spans="1:6" s="138" customFormat="1" ht="11.25">
      <c r="A17" s="136"/>
      <c r="B17" s="148" t="s">
        <v>163</v>
      </c>
      <c r="C17" s="135">
        <v>212</v>
      </c>
      <c r="D17" s="309"/>
      <c r="E17" s="309"/>
      <c r="F17" s="136"/>
    </row>
    <row r="18" spans="1:6" s="138" customFormat="1" ht="11.25">
      <c r="A18" s="136"/>
      <c r="B18" s="148" t="s">
        <v>164</v>
      </c>
      <c r="C18" s="135">
        <v>213</v>
      </c>
      <c r="D18" s="309"/>
      <c r="E18" s="309"/>
      <c r="F18" s="136"/>
    </row>
    <row r="19" spans="1:6" s="138" customFormat="1" ht="11.25">
      <c r="A19" s="136"/>
      <c r="B19" s="148" t="s">
        <v>165</v>
      </c>
      <c r="C19" s="135">
        <v>214</v>
      </c>
      <c r="D19" s="309"/>
      <c r="E19" s="309"/>
      <c r="F19" s="136"/>
    </row>
    <row r="20" spans="1:6" s="150" customFormat="1" ht="12.75">
      <c r="A20" s="149"/>
      <c r="B20" s="134" t="s">
        <v>45</v>
      </c>
      <c r="C20" s="135">
        <v>220</v>
      </c>
      <c r="D20" s="295">
        <v>11602</v>
      </c>
      <c r="E20" s="295">
        <v>11637</v>
      </c>
      <c r="F20" s="149"/>
    </row>
    <row r="21" spans="1:6" s="150" customFormat="1" ht="12.75">
      <c r="A21" s="149"/>
      <c r="B21" s="134" t="s">
        <v>46</v>
      </c>
      <c r="C21" s="135">
        <v>230</v>
      </c>
      <c r="D21" s="295"/>
      <c r="E21" s="295"/>
      <c r="F21" s="149"/>
    </row>
    <row r="22" spans="1:6" s="138" customFormat="1" ht="12.75">
      <c r="A22" s="136"/>
      <c r="B22" s="134" t="s">
        <v>47</v>
      </c>
      <c r="C22" s="137">
        <v>240</v>
      </c>
      <c r="D22" s="295"/>
      <c r="E22" s="295"/>
      <c r="F22" s="136"/>
    </row>
    <row r="23" spans="1:6" s="138" customFormat="1" ht="12.75">
      <c r="A23" s="136"/>
      <c r="B23" s="134" t="s">
        <v>48</v>
      </c>
      <c r="C23" s="137">
        <v>250</v>
      </c>
      <c r="D23" s="315">
        <f>SUM(D24:D27)</f>
        <v>40475</v>
      </c>
      <c r="E23" s="316">
        <f>SUM(E24:E27)</f>
        <v>56916</v>
      </c>
      <c r="F23" s="136"/>
    </row>
    <row r="24" spans="1:6" s="138" customFormat="1" ht="11.25">
      <c r="A24" s="136"/>
      <c r="B24" s="148" t="s">
        <v>166</v>
      </c>
      <c r="C24" s="137">
        <v>251</v>
      </c>
      <c r="D24" s="310"/>
      <c r="E24" s="311"/>
      <c r="F24" s="136"/>
    </row>
    <row r="25" spans="1:6" s="138" customFormat="1" ht="11.25">
      <c r="A25" s="136"/>
      <c r="B25" s="148" t="s">
        <v>167</v>
      </c>
      <c r="C25" s="137">
        <v>252</v>
      </c>
      <c r="D25" s="310">
        <v>2100</v>
      </c>
      <c r="E25" s="311"/>
      <c r="F25" s="136"/>
    </row>
    <row r="26" spans="1:6" s="138" customFormat="1" ht="11.25">
      <c r="A26" s="136"/>
      <c r="B26" s="148" t="s">
        <v>161</v>
      </c>
      <c r="C26" s="137">
        <v>253</v>
      </c>
      <c r="D26" s="308">
        <v>38375</v>
      </c>
      <c r="E26" s="309">
        <v>56397</v>
      </c>
      <c r="F26" s="136"/>
    </row>
    <row r="27" spans="1:6" s="138" customFormat="1" ht="12">
      <c r="A27" s="136"/>
      <c r="B27" s="148" t="s">
        <v>168</v>
      </c>
      <c r="C27" s="135">
        <v>254</v>
      </c>
      <c r="D27" s="295"/>
      <c r="E27" s="295">
        <v>519</v>
      </c>
      <c r="F27" s="136"/>
    </row>
    <row r="28" spans="1:6" s="150" customFormat="1" ht="12.75">
      <c r="A28" s="149"/>
      <c r="B28" s="134" t="s">
        <v>49</v>
      </c>
      <c r="C28" s="135">
        <v>260</v>
      </c>
      <c r="D28" s="295"/>
      <c r="E28" s="295"/>
      <c r="F28" s="149"/>
    </row>
    <row r="29" spans="1:6" s="138" customFormat="1" ht="12.75">
      <c r="A29" s="136"/>
      <c r="B29" s="134" t="s">
        <v>50</v>
      </c>
      <c r="C29" s="137">
        <v>270</v>
      </c>
      <c r="D29" s="295">
        <v>609</v>
      </c>
      <c r="E29" s="295">
        <v>16</v>
      </c>
      <c r="F29" s="136"/>
    </row>
    <row r="30" spans="1:6" s="138" customFormat="1" ht="12.75">
      <c r="A30" s="136"/>
      <c r="B30" s="134" t="s">
        <v>3</v>
      </c>
      <c r="C30" s="135">
        <v>280</v>
      </c>
      <c r="D30" s="295"/>
      <c r="E30" s="295"/>
      <c r="F30" s="136"/>
    </row>
    <row r="31" spans="1:6" ht="12.75">
      <c r="A31" s="124"/>
      <c r="B31" s="139" t="s">
        <v>18</v>
      </c>
      <c r="C31" s="140">
        <v>290</v>
      </c>
      <c r="D31" s="296">
        <f>D15+SUM(D20:D23)+SUM(D28:D30)</f>
        <v>52686</v>
      </c>
      <c r="E31" s="297">
        <f>E15+SUM(E20:E23)+SUM(E28:E30)</f>
        <v>68569</v>
      </c>
      <c r="F31" s="124"/>
    </row>
    <row r="32" spans="1:6" ht="12.75">
      <c r="A32" s="124"/>
      <c r="B32" s="129"/>
      <c r="C32" s="143"/>
      <c r="D32" s="298"/>
      <c r="E32" s="298"/>
      <c r="F32" s="124"/>
    </row>
    <row r="33" spans="1:6" ht="12.75">
      <c r="A33" s="124"/>
      <c r="B33" s="139" t="s">
        <v>23</v>
      </c>
      <c r="C33" s="140">
        <v>390</v>
      </c>
      <c r="D33" s="296">
        <f>D31+D12</f>
        <v>120755</v>
      </c>
      <c r="E33" s="297">
        <f>E31+E12</f>
        <v>136638</v>
      </c>
      <c r="F33" s="124"/>
    </row>
    <row r="34" spans="1:6" ht="12.75">
      <c r="A34" s="124"/>
      <c r="B34" s="129"/>
      <c r="C34" s="130"/>
      <c r="D34" s="124"/>
      <c r="E34" s="124"/>
      <c r="F34" s="124"/>
    </row>
    <row r="35" spans="1:6" ht="12.75">
      <c r="A35" s="124"/>
      <c r="B35" s="129"/>
      <c r="C35" s="130"/>
      <c r="D35" s="124"/>
      <c r="E35" s="124"/>
      <c r="F35" s="124"/>
    </row>
    <row r="36" spans="1:6" ht="12.75">
      <c r="A36" s="124"/>
      <c r="B36" s="129"/>
      <c r="C36" s="130"/>
      <c r="D36" s="124"/>
      <c r="E36" s="124"/>
      <c r="F36" s="124"/>
    </row>
    <row r="37" spans="1:6" ht="12.75">
      <c r="A37" s="124"/>
      <c r="B37" s="129"/>
      <c r="C37" s="130"/>
      <c r="D37" s="124"/>
      <c r="E37" s="124"/>
      <c r="F37" s="124"/>
    </row>
    <row r="38" spans="1:6" ht="12.75">
      <c r="A38" s="124"/>
      <c r="B38" s="353" t="s">
        <v>5</v>
      </c>
      <c r="C38" s="353"/>
      <c r="D38" s="353"/>
      <c r="E38" s="353"/>
      <c r="F38" s="124"/>
    </row>
    <row r="39" spans="1:6" ht="3.75" customHeight="1">
      <c r="A39" s="124"/>
      <c r="B39" s="129"/>
      <c r="C39" s="130"/>
      <c r="D39" s="124"/>
      <c r="E39" s="124"/>
      <c r="F39" s="124"/>
    </row>
    <row r="40" spans="1:6" ht="12.75">
      <c r="A40" s="124"/>
      <c r="B40" s="131" t="s">
        <v>51</v>
      </c>
      <c r="C40" s="132"/>
      <c r="D40" s="133"/>
      <c r="E40" s="133"/>
      <c r="F40" s="124"/>
    </row>
    <row r="41" spans="1:6" ht="12.75">
      <c r="A41" s="124"/>
      <c r="B41" s="134" t="s">
        <v>52</v>
      </c>
      <c r="C41" s="135">
        <v>510</v>
      </c>
      <c r="D41" s="295">
        <v>4200</v>
      </c>
      <c r="E41" s="295">
        <v>60000</v>
      </c>
      <c r="F41" s="124"/>
    </row>
    <row r="42" spans="1:6" ht="12.75">
      <c r="A42" s="124"/>
      <c r="B42" s="134" t="s">
        <v>53</v>
      </c>
      <c r="C42" s="135">
        <v>515</v>
      </c>
      <c r="D42" s="295"/>
      <c r="E42" s="295"/>
      <c r="F42" s="124"/>
    </row>
    <row r="43" spans="1:6" ht="12.75">
      <c r="A43" s="124"/>
      <c r="B43" s="134" t="s">
        <v>54</v>
      </c>
      <c r="C43" s="135">
        <v>520</v>
      </c>
      <c r="D43" s="295"/>
      <c r="E43" s="295"/>
      <c r="F43" s="124"/>
    </row>
    <row r="44" spans="1:6" ht="12.75">
      <c r="A44" s="124"/>
      <c r="B44" s="134" t="s">
        <v>55</v>
      </c>
      <c r="C44" s="135">
        <v>530</v>
      </c>
      <c r="D44" s="295">
        <v>3791</v>
      </c>
      <c r="E44" s="295">
        <v>3791</v>
      </c>
      <c r="F44" s="124"/>
    </row>
    <row r="45" spans="1:6" ht="12.75">
      <c r="A45" s="124"/>
      <c r="B45" s="134" t="s">
        <v>64</v>
      </c>
      <c r="C45" s="135">
        <v>540</v>
      </c>
      <c r="D45" s="295"/>
      <c r="E45" s="295"/>
      <c r="F45" s="124"/>
    </row>
    <row r="46" spans="1:6" ht="12.75">
      <c r="A46" s="124"/>
      <c r="B46" s="134" t="s">
        <v>65</v>
      </c>
      <c r="C46" s="135">
        <v>550</v>
      </c>
      <c r="D46" s="295">
        <v>-5878</v>
      </c>
      <c r="E46" s="295">
        <v>-5878</v>
      </c>
      <c r="F46" s="124"/>
    </row>
    <row r="47" spans="1:6" ht="12.75">
      <c r="A47" s="124"/>
      <c r="B47" s="134" t="s">
        <v>56</v>
      </c>
      <c r="C47" s="135">
        <v>560</v>
      </c>
      <c r="D47" s="295"/>
      <c r="E47" s="295">
        <v>-51</v>
      </c>
      <c r="F47" s="124"/>
    </row>
    <row r="48" spans="1:6" ht="12.75">
      <c r="A48" s="124"/>
      <c r="B48" s="139" t="s">
        <v>21</v>
      </c>
      <c r="C48" s="140">
        <v>590</v>
      </c>
      <c r="D48" s="296">
        <f>SUM(D41:D47)</f>
        <v>2113</v>
      </c>
      <c r="E48" s="297">
        <f>SUM(E41:E47)</f>
        <v>57862</v>
      </c>
      <c r="F48" s="124"/>
    </row>
    <row r="49" spans="1:6" ht="3" customHeight="1">
      <c r="A49" s="124"/>
      <c r="B49" s="129"/>
      <c r="C49" s="151"/>
      <c r="D49" s="298"/>
      <c r="E49" s="298"/>
      <c r="F49" s="124"/>
    </row>
    <row r="50" spans="1:6" ht="12.75">
      <c r="A50" s="124"/>
      <c r="B50" s="131" t="s">
        <v>57</v>
      </c>
      <c r="C50" s="152"/>
      <c r="D50" s="289"/>
      <c r="E50" s="289"/>
      <c r="F50" s="124"/>
    </row>
    <row r="51" spans="1:6" ht="12.75">
      <c r="A51" s="124"/>
      <c r="B51" s="134" t="s">
        <v>58</v>
      </c>
      <c r="C51" s="135">
        <v>610</v>
      </c>
      <c r="D51" s="299"/>
      <c r="E51" s="300"/>
      <c r="F51" s="124"/>
    </row>
    <row r="52" spans="1:6" ht="12.75">
      <c r="A52" s="124"/>
      <c r="B52" s="134" t="s">
        <v>59</v>
      </c>
      <c r="C52" s="137">
        <v>620</v>
      </c>
      <c r="D52" s="299"/>
      <c r="E52" s="300">
        <v>-10283</v>
      </c>
      <c r="F52" s="124"/>
    </row>
    <row r="53" spans="1:6" ht="12.75">
      <c r="A53" s="124"/>
      <c r="B53" s="134" t="s">
        <v>60</v>
      </c>
      <c r="C53" s="135">
        <v>630</v>
      </c>
      <c r="D53" s="301"/>
      <c r="E53" s="302"/>
      <c r="F53" s="124"/>
    </row>
    <row r="54" spans="1:6" ht="12.75">
      <c r="A54" s="124"/>
      <c r="B54" s="134" t="s">
        <v>61</v>
      </c>
      <c r="C54" s="154">
        <v>640</v>
      </c>
      <c r="D54" s="299"/>
      <c r="E54" s="300"/>
      <c r="F54" s="124"/>
    </row>
    <row r="55" spans="1:6" ht="12.75">
      <c r="A55" s="124"/>
      <c r="B55" s="134" t="s">
        <v>62</v>
      </c>
      <c r="C55" s="154">
        <v>650</v>
      </c>
      <c r="D55" s="299"/>
      <c r="E55" s="300">
        <v>-18</v>
      </c>
      <c r="F55" s="124"/>
    </row>
    <row r="56" spans="1:6" ht="12.75">
      <c r="A56" s="124"/>
      <c r="B56" s="155" t="s">
        <v>63</v>
      </c>
      <c r="C56" s="154">
        <v>660</v>
      </c>
      <c r="D56" s="299"/>
      <c r="E56" s="300"/>
      <c r="F56" s="124"/>
    </row>
    <row r="57" spans="1:6" ht="12.75">
      <c r="A57" s="124"/>
      <c r="B57" s="139" t="s">
        <v>22</v>
      </c>
      <c r="C57" s="140">
        <v>690</v>
      </c>
      <c r="D57" s="296">
        <f>SUM(D51:D56)</f>
        <v>0</v>
      </c>
      <c r="E57" s="297">
        <f>SUM(E51:E56)</f>
        <v>-10301</v>
      </c>
      <c r="F57" s="124"/>
    </row>
    <row r="58" spans="1:6" ht="3.75" customHeight="1">
      <c r="A58" s="124"/>
      <c r="B58" s="129"/>
      <c r="C58" s="151"/>
      <c r="D58" s="298"/>
      <c r="E58" s="298"/>
      <c r="F58" s="124"/>
    </row>
    <row r="59" spans="1:6" ht="12.75">
      <c r="A59" s="124"/>
      <c r="B59" s="131" t="s">
        <v>66</v>
      </c>
      <c r="C59" s="152"/>
      <c r="D59" s="289"/>
      <c r="E59" s="289"/>
      <c r="F59" s="124"/>
    </row>
    <row r="60" spans="1:6" ht="12.75">
      <c r="A60" s="124"/>
      <c r="B60" s="134" t="s">
        <v>67</v>
      </c>
      <c r="C60" s="135">
        <v>710</v>
      </c>
      <c r="D60" s="301"/>
      <c r="E60" s="302"/>
      <c r="F60" s="124"/>
    </row>
    <row r="61" spans="1:6" ht="12.75">
      <c r="A61" s="124"/>
      <c r="B61" s="134" t="s">
        <v>68</v>
      </c>
      <c r="C61" s="137">
        <v>720</v>
      </c>
      <c r="D61" s="303"/>
      <c r="E61" s="304"/>
      <c r="F61" s="124"/>
    </row>
    <row r="62" spans="1:6" ht="12.75">
      <c r="A62" s="124"/>
      <c r="B62" s="134" t="s">
        <v>7</v>
      </c>
      <c r="C62" s="137">
        <v>730</v>
      </c>
      <c r="D62" s="305">
        <f>SUM(D63:D69)</f>
        <v>118642</v>
      </c>
      <c r="E62" s="306">
        <f>SUM(E63:E69)</f>
        <v>89077</v>
      </c>
      <c r="F62" s="124"/>
    </row>
    <row r="63" spans="1:6" ht="12.75">
      <c r="A63" s="124"/>
      <c r="B63" s="147" t="s">
        <v>155</v>
      </c>
      <c r="C63" s="135">
        <v>731</v>
      </c>
      <c r="D63" s="304">
        <v>14635</v>
      </c>
      <c r="E63" s="304">
        <v>6420</v>
      </c>
      <c r="F63" s="124"/>
    </row>
    <row r="64" spans="1:6" ht="12.75">
      <c r="A64" s="124"/>
      <c r="B64" s="147" t="s">
        <v>156</v>
      </c>
      <c r="C64" s="137">
        <v>732</v>
      </c>
      <c r="D64" s="304">
        <v>1007</v>
      </c>
      <c r="E64" s="304">
        <v>2726</v>
      </c>
      <c r="F64" s="124"/>
    </row>
    <row r="65" spans="1:6" ht="12.75">
      <c r="A65" s="124"/>
      <c r="B65" s="147" t="s">
        <v>157</v>
      </c>
      <c r="C65" s="137">
        <v>733</v>
      </c>
      <c r="D65" s="304"/>
      <c r="E65" s="304"/>
      <c r="F65" s="124"/>
    </row>
    <row r="66" spans="1:6" ht="12.75">
      <c r="A66" s="124"/>
      <c r="B66" s="147" t="s">
        <v>158</v>
      </c>
      <c r="C66" s="137">
        <v>734</v>
      </c>
      <c r="D66" s="304">
        <v>37</v>
      </c>
      <c r="E66" s="304"/>
      <c r="F66" s="124"/>
    </row>
    <row r="67" spans="1:6" ht="12.75">
      <c r="A67" s="124"/>
      <c r="B67" s="147" t="s">
        <v>159</v>
      </c>
      <c r="C67" s="137">
        <v>735</v>
      </c>
      <c r="D67" s="304">
        <v>395</v>
      </c>
      <c r="E67" s="304">
        <v>348</v>
      </c>
      <c r="F67" s="124"/>
    </row>
    <row r="68" spans="1:6" ht="12.75">
      <c r="A68" s="124"/>
      <c r="B68" s="147" t="s">
        <v>160</v>
      </c>
      <c r="C68" s="137">
        <v>736</v>
      </c>
      <c r="D68" s="304"/>
      <c r="E68" s="304"/>
      <c r="F68" s="124"/>
    </row>
    <row r="69" spans="1:6" ht="12.75">
      <c r="A69" s="124"/>
      <c r="B69" s="147" t="s">
        <v>161</v>
      </c>
      <c r="C69" s="137">
        <v>737</v>
      </c>
      <c r="D69" s="304">
        <v>102568</v>
      </c>
      <c r="E69" s="304">
        <v>79583</v>
      </c>
      <c r="F69" s="124"/>
    </row>
    <row r="70" spans="1:6" ht="12.75">
      <c r="A70" s="124"/>
      <c r="B70" s="134" t="s">
        <v>69</v>
      </c>
      <c r="C70" s="135">
        <v>740</v>
      </c>
      <c r="D70" s="295"/>
      <c r="E70" s="295"/>
      <c r="F70" s="124"/>
    </row>
    <row r="71" spans="1:6" ht="12.75">
      <c r="A71" s="124"/>
      <c r="B71" s="139" t="s">
        <v>6</v>
      </c>
      <c r="C71" s="140">
        <v>790</v>
      </c>
      <c r="D71" s="296">
        <f>SUM(D60:D62)+D70</f>
        <v>118642</v>
      </c>
      <c r="E71" s="297">
        <f>SUM(E60:E62)+E70</f>
        <v>89077</v>
      </c>
      <c r="F71" s="124"/>
    </row>
    <row r="72" spans="1:6" ht="6" customHeight="1">
      <c r="A72" s="124"/>
      <c r="B72" s="129"/>
      <c r="C72" s="151"/>
      <c r="D72" s="307"/>
      <c r="E72" s="307"/>
      <c r="F72" s="124"/>
    </row>
    <row r="73" spans="1:6" ht="12.75">
      <c r="A73" s="124"/>
      <c r="B73" s="139" t="s">
        <v>90</v>
      </c>
      <c r="C73" s="140">
        <v>890</v>
      </c>
      <c r="D73" s="296">
        <f>Н590+Н690+Н790</f>
        <v>120755</v>
      </c>
      <c r="E73" s="297">
        <f>К590+К690+К790</f>
        <v>136638</v>
      </c>
      <c r="F73" s="124"/>
    </row>
    <row r="74" spans="1:6" ht="12.75">
      <c r="A74" s="133"/>
      <c r="B74" s="156">
        <f>IF(AND(D74=0,E74=0),0,"отклонения в балансе")</f>
        <v>0</v>
      </c>
      <c r="C74" s="157"/>
      <c r="D74" s="158">
        <f>D73-D33</f>
        <v>0</v>
      </c>
      <c r="E74" s="158">
        <f>E73-E33</f>
        <v>0</v>
      </c>
      <c r="F74" s="133"/>
    </row>
    <row r="75" spans="1:6" ht="6.75" customHeight="1">
      <c r="A75" s="124"/>
      <c r="B75" s="129"/>
      <c r="C75" s="130"/>
      <c r="D75" s="124"/>
      <c r="E75" s="124"/>
      <c r="F75" s="124"/>
    </row>
    <row r="76" spans="1:6" ht="42" customHeight="1">
      <c r="A76" s="124"/>
      <c r="B76" s="159" t="s">
        <v>10</v>
      </c>
      <c r="C76" s="160"/>
      <c r="D76" s="161" t="s">
        <v>35</v>
      </c>
      <c r="E76" s="161" t="s">
        <v>34</v>
      </c>
      <c r="F76" s="124"/>
    </row>
    <row r="77" spans="1:6" ht="6.75" customHeight="1">
      <c r="A77" s="124"/>
      <c r="B77" s="129"/>
      <c r="C77" s="130"/>
      <c r="D77" s="124"/>
      <c r="E77" s="124"/>
      <c r="F77" s="124"/>
    </row>
    <row r="78" spans="1:6" ht="12.75">
      <c r="A78" s="124"/>
      <c r="B78" s="131" t="s">
        <v>70</v>
      </c>
      <c r="C78" s="152"/>
      <c r="D78" s="153"/>
      <c r="E78" s="153"/>
      <c r="F78" s="124"/>
    </row>
    <row r="79" spans="1:6" ht="12.75">
      <c r="A79" s="124"/>
      <c r="B79" s="172" t="s">
        <v>169</v>
      </c>
      <c r="C79" s="173">
        <v>10</v>
      </c>
      <c r="D79" s="276"/>
      <c r="E79" s="277"/>
      <c r="F79" s="278"/>
    </row>
    <row r="80" spans="1:6" ht="12.75">
      <c r="A80" s="124"/>
      <c r="B80" s="163" t="s">
        <v>170</v>
      </c>
      <c r="C80" s="164">
        <v>20</v>
      </c>
      <c r="D80" s="279"/>
      <c r="E80" s="280"/>
      <c r="F80" s="278"/>
    </row>
    <row r="81" spans="1:6" ht="25.5">
      <c r="A81" s="124"/>
      <c r="B81" s="163" t="s">
        <v>171</v>
      </c>
      <c r="C81" s="164">
        <v>30</v>
      </c>
      <c r="D81" s="281">
        <f>ОН010-ОН020</f>
        <v>0</v>
      </c>
      <c r="E81" s="282">
        <f>ОК010-ОК020</f>
        <v>0</v>
      </c>
      <c r="F81" s="278"/>
    </row>
    <row r="82" spans="1:6" ht="12.75">
      <c r="A82" s="124"/>
      <c r="B82" s="163" t="s">
        <v>172</v>
      </c>
      <c r="C82" s="164">
        <v>31</v>
      </c>
      <c r="D82" s="279"/>
      <c r="E82" s="280"/>
      <c r="F82" s="278"/>
    </row>
    <row r="83" spans="1:6" ht="12.75">
      <c r="A83" s="124"/>
      <c r="B83" s="163" t="s">
        <v>173</v>
      </c>
      <c r="C83" s="164">
        <v>40</v>
      </c>
      <c r="D83" s="279"/>
      <c r="E83" s="280"/>
      <c r="F83" s="278"/>
    </row>
    <row r="84" spans="1:6" ht="12.75">
      <c r="A84" s="124"/>
      <c r="B84" s="163" t="s">
        <v>8</v>
      </c>
      <c r="C84" s="164">
        <v>50</v>
      </c>
      <c r="D84" s="279"/>
      <c r="E84" s="280"/>
      <c r="F84" s="278"/>
    </row>
    <row r="85" spans="1:6" ht="12.75">
      <c r="A85" s="124"/>
      <c r="B85" s="273" t="s">
        <v>71</v>
      </c>
      <c r="C85" s="165">
        <v>60</v>
      </c>
      <c r="D85" s="283"/>
      <c r="E85" s="284"/>
      <c r="F85" s="278"/>
    </row>
    <row r="86" spans="1:6" ht="12.75">
      <c r="A86" s="124"/>
      <c r="B86" s="172" t="s">
        <v>174</v>
      </c>
      <c r="C86" s="173">
        <v>70</v>
      </c>
      <c r="D86" s="285">
        <f>ОН030-ОН040-ОН050-ОН060</f>
        <v>0</v>
      </c>
      <c r="E86" s="286">
        <f>ОК030-ОК040-ОК050-ОК060</f>
        <v>0</v>
      </c>
      <c r="F86" s="278"/>
    </row>
    <row r="87" spans="1:6" ht="3.75" customHeight="1">
      <c r="A87" s="133"/>
      <c r="B87" s="166"/>
      <c r="C87" s="167"/>
      <c r="D87" s="287"/>
      <c r="E87" s="287"/>
      <c r="F87" s="288"/>
    </row>
    <row r="88" spans="1:6" ht="12.75">
      <c r="A88" s="124"/>
      <c r="B88" s="131" t="s">
        <v>72</v>
      </c>
      <c r="C88" s="152"/>
      <c r="D88" s="289"/>
      <c r="E88" s="289"/>
      <c r="F88" s="278"/>
    </row>
    <row r="89" spans="1:6" ht="12.75">
      <c r="A89" s="124"/>
      <c r="B89" s="172" t="s">
        <v>175</v>
      </c>
      <c r="C89" s="173">
        <v>80</v>
      </c>
      <c r="D89" s="276"/>
      <c r="E89" s="277"/>
      <c r="F89" s="278"/>
    </row>
    <row r="90" spans="1:6" ht="12.75">
      <c r="A90" s="124"/>
      <c r="B90" s="274" t="s">
        <v>176</v>
      </c>
      <c r="C90" s="162">
        <v>90</v>
      </c>
      <c r="D90" s="290"/>
      <c r="E90" s="291"/>
      <c r="F90" s="278"/>
    </row>
    <row r="91" spans="1:6" ht="25.5">
      <c r="A91" s="124"/>
      <c r="B91" s="163" t="s">
        <v>177</v>
      </c>
      <c r="C91" s="164">
        <v>100</v>
      </c>
      <c r="D91" s="281">
        <f>ОН080-ОН090</f>
        <v>0</v>
      </c>
      <c r="E91" s="282">
        <f>ОК080-ОК090</f>
        <v>0</v>
      </c>
      <c r="F91" s="278"/>
    </row>
    <row r="92" spans="1:6" ht="25.5">
      <c r="A92" s="124"/>
      <c r="B92" s="163" t="s">
        <v>178</v>
      </c>
      <c r="C92" s="275">
        <v>101</v>
      </c>
      <c r="D92" s="292"/>
      <c r="E92" s="293"/>
      <c r="F92" s="278"/>
    </row>
    <row r="93" spans="1:6" ht="12.75">
      <c r="A93" s="124"/>
      <c r="B93" s="163" t="s">
        <v>179</v>
      </c>
      <c r="C93" s="164">
        <v>102</v>
      </c>
      <c r="D93" s="279"/>
      <c r="E93" s="280"/>
      <c r="F93" s="278"/>
    </row>
    <row r="94" spans="1:6" ht="12.75">
      <c r="A94" s="124"/>
      <c r="B94" s="163" t="s">
        <v>180</v>
      </c>
      <c r="C94" s="164">
        <v>103</v>
      </c>
      <c r="D94" s="279"/>
      <c r="E94" s="280"/>
      <c r="F94" s="278"/>
    </row>
    <row r="95" spans="1:6" ht="12.75">
      <c r="A95" s="124"/>
      <c r="B95" s="163" t="s">
        <v>181</v>
      </c>
      <c r="C95" s="164">
        <v>104</v>
      </c>
      <c r="D95" s="279"/>
      <c r="E95" s="280"/>
      <c r="F95" s="278"/>
    </row>
    <row r="96" spans="1:6" ht="12.75">
      <c r="A96" s="124"/>
      <c r="B96" s="163" t="s">
        <v>182</v>
      </c>
      <c r="C96" s="164">
        <v>110</v>
      </c>
      <c r="D96" s="279"/>
      <c r="E96" s="280"/>
      <c r="F96" s="278"/>
    </row>
    <row r="97" spans="1:6" ht="25.5">
      <c r="A97" s="124"/>
      <c r="B97" s="163" t="s">
        <v>183</v>
      </c>
      <c r="C97" s="275">
        <v>111</v>
      </c>
      <c r="D97" s="292"/>
      <c r="E97" s="293"/>
      <c r="F97" s="278"/>
    </row>
    <row r="98" spans="1:6" ht="12.75">
      <c r="A98" s="124"/>
      <c r="B98" s="163" t="s">
        <v>184</v>
      </c>
      <c r="C98" s="164">
        <v>112</v>
      </c>
      <c r="D98" s="279"/>
      <c r="E98" s="280"/>
      <c r="F98" s="278"/>
    </row>
    <row r="99" spans="1:6" ht="12.75">
      <c r="A99" s="124"/>
      <c r="B99" s="163" t="s">
        <v>185</v>
      </c>
      <c r="C99" s="164">
        <v>113</v>
      </c>
      <c r="D99" s="279">
        <v>0</v>
      </c>
      <c r="E99" s="280"/>
      <c r="F99" s="278"/>
    </row>
    <row r="100" spans="1:6" ht="12.75">
      <c r="A100" s="124"/>
      <c r="B100" s="273" t="s">
        <v>186</v>
      </c>
      <c r="C100" s="165">
        <v>120</v>
      </c>
      <c r="D100" s="283"/>
      <c r="E100" s="284"/>
      <c r="F100" s="278"/>
    </row>
    <row r="101" spans="1:6" ht="12.75">
      <c r="A101" s="124"/>
      <c r="B101" s="172" t="s">
        <v>187</v>
      </c>
      <c r="C101" s="173">
        <v>130</v>
      </c>
      <c r="D101" s="285">
        <f>ОН100-ОН110+ОН120</f>
        <v>0</v>
      </c>
      <c r="E101" s="286">
        <f>ОК100-ОК110+ОК120</f>
        <v>0</v>
      </c>
      <c r="F101" s="278"/>
    </row>
    <row r="102" spans="1:6" ht="3.75" customHeight="1">
      <c r="A102" s="133"/>
      <c r="B102" s="166"/>
      <c r="C102" s="167"/>
      <c r="D102" s="287"/>
      <c r="E102" s="287"/>
      <c r="F102" s="288"/>
    </row>
    <row r="103" spans="1:6" ht="12.75">
      <c r="A103" s="124"/>
      <c r="B103" s="131" t="s">
        <v>73</v>
      </c>
      <c r="C103" s="152"/>
      <c r="D103" s="289"/>
      <c r="E103" s="289"/>
      <c r="F103" s="278"/>
    </row>
    <row r="104" spans="1:6" ht="12.75">
      <c r="A104" s="124"/>
      <c r="B104" s="163" t="s">
        <v>188</v>
      </c>
      <c r="C104" s="164">
        <v>140</v>
      </c>
      <c r="D104" s="279"/>
      <c r="E104" s="280"/>
      <c r="F104" s="278"/>
    </row>
    <row r="105" spans="1:6" ht="12.75">
      <c r="A105" s="124"/>
      <c r="B105" s="163" t="s">
        <v>189</v>
      </c>
      <c r="C105" s="164">
        <v>150</v>
      </c>
      <c r="D105" s="279"/>
      <c r="E105" s="280"/>
      <c r="F105" s="278"/>
    </row>
    <row r="106" spans="1:6" ht="25.5">
      <c r="A106" s="124"/>
      <c r="B106" s="163" t="s">
        <v>193</v>
      </c>
      <c r="C106" s="164">
        <v>160</v>
      </c>
      <c r="D106" s="281">
        <f>ОН140-ОН150</f>
        <v>0</v>
      </c>
      <c r="E106" s="282">
        <f>ОК140-ОК150</f>
        <v>0</v>
      </c>
      <c r="F106" s="278"/>
    </row>
    <row r="107" spans="1:6" ht="12.75">
      <c r="A107" s="124"/>
      <c r="B107" s="163" t="s">
        <v>190</v>
      </c>
      <c r="C107" s="164">
        <v>170</v>
      </c>
      <c r="D107" s="279"/>
      <c r="E107" s="280"/>
      <c r="F107" s="278"/>
    </row>
    <row r="108" spans="1:6" ht="12.75">
      <c r="A108" s="124"/>
      <c r="B108" s="163" t="s">
        <v>191</v>
      </c>
      <c r="C108" s="164">
        <v>180</v>
      </c>
      <c r="D108" s="279"/>
      <c r="E108" s="280"/>
      <c r="F108" s="278"/>
    </row>
    <row r="109" spans="1:6" ht="12.75">
      <c r="A109" s="124"/>
      <c r="B109" s="163" t="s">
        <v>192</v>
      </c>
      <c r="C109" s="164">
        <v>190</v>
      </c>
      <c r="D109" s="281">
        <f>ОН160-ОН170+ОН180</f>
        <v>0</v>
      </c>
      <c r="E109" s="282">
        <f>ОК160-ОК170+ОК180</f>
        <v>0</v>
      </c>
      <c r="F109" s="278"/>
    </row>
    <row r="110" spans="2:6" ht="12.75">
      <c r="B110" s="317"/>
      <c r="C110" s="318"/>
      <c r="D110" s="319"/>
      <c r="E110" s="319"/>
      <c r="F110" s="294"/>
    </row>
    <row r="111" spans="1:6" ht="12.75">
      <c r="A111" s="124"/>
      <c r="B111" s="163" t="s">
        <v>194</v>
      </c>
      <c r="C111" s="164">
        <v>200</v>
      </c>
      <c r="D111" s="281">
        <f>ОН070+ОН130+ОН190</f>
        <v>0</v>
      </c>
      <c r="E111" s="282">
        <f>ОК070+ОК130+ОК190</f>
        <v>0</v>
      </c>
      <c r="F111" s="278"/>
    </row>
    <row r="112" spans="1:6" ht="12.75">
      <c r="A112" s="124"/>
      <c r="B112" s="163" t="s">
        <v>195</v>
      </c>
      <c r="C112" s="164">
        <v>210</v>
      </c>
      <c r="D112" s="279"/>
      <c r="E112" s="280"/>
      <c r="F112" s="278"/>
    </row>
    <row r="113" spans="1:6" ht="12.75">
      <c r="A113" s="124"/>
      <c r="B113" s="163" t="s">
        <v>196</v>
      </c>
      <c r="C113" s="164">
        <v>220</v>
      </c>
      <c r="D113" s="279"/>
      <c r="E113" s="280"/>
      <c r="F113" s="278"/>
    </row>
    <row r="114" spans="1:6" ht="12.75">
      <c r="A114" s="124"/>
      <c r="B114" s="163" t="s">
        <v>197</v>
      </c>
      <c r="C114" s="164">
        <v>230</v>
      </c>
      <c r="D114" s="279"/>
      <c r="E114" s="280"/>
      <c r="F114" s="278"/>
    </row>
    <row r="115" spans="1:6" ht="12.75">
      <c r="A115" s="124"/>
      <c r="B115" s="163" t="s">
        <v>198</v>
      </c>
      <c r="C115" s="164">
        <v>240</v>
      </c>
      <c r="D115" s="281">
        <f>ОН200-ОН210-ОН220-ОН230</f>
        <v>0</v>
      </c>
      <c r="E115" s="282">
        <f>ОК200-ОК210-ОК220-ОК230</f>
        <v>0</v>
      </c>
      <c r="F115" s="278"/>
    </row>
    <row r="116" spans="4:6" ht="12.75">
      <c r="D116" s="294"/>
      <c r="E116" s="294"/>
      <c r="F116" s="294"/>
    </row>
    <row r="117" spans="2:6" ht="12.75">
      <c r="B117" s="166" t="s">
        <v>199</v>
      </c>
      <c r="D117" s="294"/>
      <c r="E117" s="294"/>
      <c r="F117" s="294"/>
    </row>
    <row r="118" spans="1:6" ht="12.75">
      <c r="A118" s="124"/>
      <c r="B118" s="163" t="s">
        <v>200</v>
      </c>
      <c r="C118" s="164">
        <v>171</v>
      </c>
      <c r="D118" s="279"/>
      <c r="E118" s="280"/>
      <c r="F118" s="278"/>
    </row>
    <row r="119" spans="1:6" ht="12.75">
      <c r="A119" s="124"/>
      <c r="B119" s="163" t="s">
        <v>217</v>
      </c>
      <c r="C119" s="164">
        <v>172</v>
      </c>
      <c r="D119" s="279"/>
      <c r="E119" s="280"/>
      <c r="F119" s="278"/>
    </row>
    <row r="120" spans="1:6" ht="12.75">
      <c r="A120" s="124"/>
      <c r="B120" s="163" t="s">
        <v>218</v>
      </c>
      <c r="C120" s="164">
        <v>173</v>
      </c>
      <c r="D120" s="279"/>
      <c r="E120" s="280"/>
      <c r="F120" s="278"/>
    </row>
    <row r="121" spans="1:6" ht="12.75">
      <c r="A121" s="124"/>
      <c r="B121" s="163" t="s">
        <v>219</v>
      </c>
      <c r="C121" s="164">
        <v>174</v>
      </c>
      <c r="D121" s="279"/>
      <c r="E121" s="280"/>
      <c r="F121" s="278"/>
    </row>
    <row r="122" spans="1:6" ht="12.75">
      <c r="A122" s="124"/>
      <c r="B122" s="163" t="s">
        <v>220</v>
      </c>
      <c r="C122" s="164">
        <v>175</v>
      </c>
      <c r="D122" s="279"/>
      <c r="E122" s="280"/>
      <c r="F122" s="278"/>
    </row>
    <row r="123" spans="1:6" ht="12.75">
      <c r="A123" s="124"/>
      <c r="B123" s="163" t="s">
        <v>221</v>
      </c>
      <c r="C123" s="164">
        <v>176</v>
      </c>
      <c r="D123" s="279"/>
      <c r="E123" s="280"/>
      <c r="F123" s="278"/>
    </row>
    <row r="124" spans="1:6" ht="12.75">
      <c r="A124" s="124"/>
      <c r="B124" s="163" t="s">
        <v>222</v>
      </c>
      <c r="C124" s="164">
        <v>177</v>
      </c>
      <c r="D124" s="279"/>
      <c r="E124" s="280"/>
      <c r="F124" s="278"/>
    </row>
    <row r="125" spans="1:6" ht="12.75">
      <c r="A125" s="124"/>
      <c r="B125" s="163" t="s">
        <v>63</v>
      </c>
      <c r="C125" s="164">
        <v>178</v>
      </c>
      <c r="D125" s="279"/>
      <c r="E125" s="280"/>
      <c r="F125" s="278"/>
    </row>
    <row r="134" ht="12.75" hidden="1">
      <c r="B134" s="168" t="str">
        <f>коэффициенты!A2</f>
        <v>Промышленность: топливная</v>
      </c>
    </row>
    <row r="135" ht="12.75" hidden="1">
      <c r="B135" s="168" t="str">
        <f>коэффициенты!A3</f>
        <v>Промышленность: химическая и нефтехимическая (без химико-фармацевтическая)</v>
      </c>
    </row>
    <row r="136" ht="12.75" hidden="1">
      <c r="B136" s="168" t="str">
        <f>коэффициенты!A4</f>
        <v>Промышленность: машиностроение и металлообработка</v>
      </c>
    </row>
    <row r="137" ht="12.75" hidden="1">
      <c r="B137" s="168" t="str">
        <f>коэффициенты!A5</f>
        <v>Промышленность: станкостроительная и инструментальная</v>
      </c>
    </row>
    <row r="138" ht="12.75" hidden="1">
      <c r="B138" s="168" t="str">
        <f>коэффициенты!A6</f>
        <v>Промышленность: такторная и сельскохозяйственное машиностроение</v>
      </c>
    </row>
    <row r="139" ht="12.75" hidden="1">
      <c r="B139" s="168" t="str">
        <f>коэффициенты!A7</f>
        <v>Промышленность: производство средств связи</v>
      </c>
    </row>
    <row r="140" ht="12.75" hidden="1">
      <c r="B140" s="168" t="str">
        <f>коэффициенты!A8</f>
        <v>Промышленность: производство стройматериалов</v>
      </c>
    </row>
    <row r="141" ht="12.75" hidden="1">
      <c r="B141" s="168" t="str">
        <f>коэффициенты!A9</f>
        <v>Промышленность: легкая</v>
      </c>
    </row>
    <row r="142" ht="12.75" hidden="1">
      <c r="B142" s="168" t="str">
        <f>коэффициенты!A10</f>
        <v>Промышленность: прочие виды</v>
      </c>
    </row>
    <row r="143" ht="12.75" hidden="1">
      <c r="B143" s="168" t="str">
        <f>коэффициенты!A11</f>
        <v>Сельское хозяйство</v>
      </c>
    </row>
    <row r="144" ht="12.75" hidden="1">
      <c r="B144" s="168" t="str">
        <f>коэффициенты!A12</f>
        <v>Транспорт</v>
      </c>
    </row>
    <row r="145" ht="12.75" hidden="1">
      <c r="B145" s="168" t="str">
        <f>коэффициенты!A13</f>
        <v>Связь: почтовая</v>
      </c>
    </row>
    <row r="146" spans="2:3" ht="12.75" hidden="1">
      <c r="B146" s="168" t="str">
        <f>коэффициенты!A14</f>
        <v>Связь: электро и радио</v>
      </c>
      <c r="C146" s="126"/>
    </row>
    <row r="147" ht="12.75" hidden="1">
      <c r="B147" s="168" t="str">
        <f>коэффициенты!A15</f>
        <v>Связь: прочие виды</v>
      </c>
    </row>
    <row r="148" ht="12.75" hidden="1">
      <c r="B148" s="168" t="str">
        <f>коэффициенты!A16</f>
        <v>Строительство</v>
      </c>
    </row>
    <row r="149" ht="12.75" hidden="1">
      <c r="B149" s="168" t="str">
        <f>коэффициенты!A17</f>
        <v>Торговля и общественное питание</v>
      </c>
    </row>
    <row r="150" ht="12.75" hidden="1">
      <c r="B150" s="168" t="str">
        <f>коэффициенты!A18</f>
        <v>Материально-техническое снабжение и сбыт</v>
      </c>
    </row>
    <row r="151" ht="12.75" hidden="1">
      <c r="B151" s="168" t="str">
        <f>коэффициенты!A19</f>
        <v>ЖКХ: газоснабжение</v>
      </c>
    </row>
    <row r="152" ht="12.75" hidden="1">
      <c r="B152" s="168" t="str">
        <f>коэффициенты!A20</f>
        <v>ЖКХ: непроизводственные виды бытового обслуживание</v>
      </c>
    </row>
    <row r="153" ht="12.75" hidden="1">
      <c r="B153" s="168" t="str">
        <f>коэффициенты!A21</f>
        <v>ЖКХ: прочие виды</v>
      </c>
    </row>
    <row r="154" ht="12.75" hidden="1">
      <c r="B154" s="168" t="str">
        <f>коэффициенты!A22</f>
        <v>Наука и научное обслуживание</v>
      </c>
    </row>
    <row r="155" ht="12.75" hidden="1">
      <c r="B155" s="168" t="str">
        <f>коэффициенты!A23</f>
        <v>Прочее</v>
      </c>
    </row>
  </sheetData>
  <sheetProtection sheet="1" objects="1" scenarios="1"/>
  <mergeCells count="3">
    <mergeCell ref="D1:E1"/>
    <mergeCell ref="B4:E4"/>
    <mergeCell ref="B38:E38"/>
  </mergeCells>
  <dataValidations count="3">
    <dataValidation type="date" allowBlank="1" showInputMessage="1" showErrorMessage="1" errorTitle="Неверный формат даты" error="Введите дату в формате: дд.мм.гг.&#10;или дд/мм/гг" sqref="D1:E1">
      <formula1>36161</formula1>
      <formula2>40179</formula2>
    </dataValidation>
    <dataValidation type="list" allowBlank="1" showInputMessage="1" showErrorMessage="1" sqref="E3">
      <formula1>"тыс. руб.,млн. руб.,млрд. руб."</formula1>
    </dataValidation>
    <dataValidation type="list" allowBlank="1" showInputMessage="1" showErrorMessage="1" sqref="B3">
      <formula1>$B$134:$B$155</formula1>
    </dataValidation>
  </dataValidations>
  <printOptions horizontalCentered="1" verticalCentered="1"/>
  <pageMargins left="0.7874015748031497" right="0" top="0" bottom="0" header="0" footer="0.1968503937007874"/>
  <pageSetup horizontalDpi="600" verticalDpi="600" orientation="portrait" paperSize="9" scale="90" r:id="rId2"/>
  <headerFooter alignWithMargins="0">
    <oddFooter>&amp;R&amp;P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48"/>
  <sheetViews>
    <sheetView showGridLines="0" showZeros="0" zoomScale="83" zoomScaleNormal="83" workbookViewId="0" topLeftCell="A119">
      <selection activeCell="C128" sqref="C128:I128"/>
    </sheetView>
  </sheetViews>
  <sheetFormatPr defaultColWidth="9.00390625" defaultRowHeight="12.75"/>
  <cols>
    <col min="1" max="1" width="1.00390625" style="1" customWidth="1"/>
    <col min="2" max="2" width="3.375" style="1" customWidth="1"/>
    <col min="3" max="3" width="57.00390625" style="9" customWidth="1"/>
    <col min="4" max="4" width="14.75390625" style="1" customWidth="1"/>
    <col min="5" max="5" width="6.25390625" style="1" customWidth="1"/>
    <col min="6" max="6" width="14.625" style="1" customWidth="1"/>
    <col min="7" max="7" width="6.375" style="1" customWidth="1"/>
    <col min="8" max="8" width="14.00390625" style="1" customWidth="1"/>
    <col min="9" max="9" width="6.375" style="1" customWidth="1"/>
    <col min="10" max="10" width="0.6171875" style="1" customWidth="1"/>
    <col min="11" max="16384" width="9.125" style="1" customWidth="1"/>
  </cols>
  <sheetData>
    <row r="1" spans="3:9" ht="12.75">
      <c r="C1" s="105" t="str">
        <f>CONCATENATE(Баланс!B1," на ",TEXT(Баланс!D1,"ДД МММ ГГГГ"),"г.")</f>
        <v>Баланс ООО "Беллесобработка" на 01 июн 2005г.</v>
      </c>
      <c r="I1" s="35" t="s">
        <v>25</v>
      </c>
    </row>
    <row r="2" spans="3:9" ht="14.25" customHeight="1">
      <c r="C2" s="370" t="s">
        <v>12</v>
      </c>
      <c r="D2" s="376" t="s">
        <v>13</v>
      </c>
      <c r="E2" s="377"/>
      <c r="F2" s="376" t="s">
        <v>14</v>
      </c>
      <c r="G2" s="377"/>
      <c r="H2" s="376" t="s">
        <v>15</v>
      </c>
      <c r="I2" s="377"/>
    </row>
    <row r="3" spans="3:9" ht="12.75">
      <c r="C3" s="371"/>
      <c r="D3" s="28"/>
      <c r="E3" s="27" t="s">
        <v>19</v>
      </c>
      <c r="F3" s="28"/>
      <c r="G3" s="27" t="s">
        <v>19</v>
      </c>
      <c r="H3" s="28"/>
      <c r="I3" s="27" t="s">
        <v>19</v>
      </c>
    </row>
    <row r="4" s="45" customFormat="1" ht="13.5" customHeight="1">
      <c r="C4" s="97" t="s">
        <v>28</v>
      </c>
    </row>
    <row r="5" spans="2:9" ht="12.75">
      <c r="B5" s="111"/>
      <c r="C5" s="112" t="str">
        <f>Баланс!B6</f>
        <v>I. ВНЕОБОРОТНЫЕ АКТИВЫ</v>
      </c>
      <c r="D5" s="192">
        <f>Н190</f>
        <v>68069</v>
      </c>
      <c r="E5" s="109">
        <f>D5/D30*100</f>
        <v>56.36950850896443</v>
      </c>
      <c r="F5" s="192">
        <f>К190</f>
        <v>68069</v>
      </c>
      <c r="G5" s="109">
        <f>F5/F30*100</f>
        <v>49.817034792663826</v>
      </c>
      <c r="H5" s="192">
        <f aca="true" t="shared" si="0" ref="H5:H10">F5-D5</f>
        <v>0</v>
      </c>
      <c r="I5" s="110">
        <f>H5/H30*100</f>
        <v>0</v>
      </c>
    </row>
    <row r="6" spans="2:9" ht="12.75">
      <c r="B6" s="18"/>
      <c r="C6" s="44" t="str">
        <f>Баланс!B7</f>
        <v>Основные средства (01, 02)</v>
      </c>
      <c r="D6" s="193">
        <f>Н110</f>
        <v>0</v>
      </c>
      <c r="E6" s="60">
        <f>D6/D30*100</f>
        <v>0</v>
      </c>
      <c r="F6" s="193">
        <f>К110</f>
        <v>0</v>
      </c>
      <c r="G6" s="61">
        <f>F6/F30*100</f>
        <v>0</v>
      </c>
      <c r="H6" s="206">
        <f t="shared" si="0"/>
        <v>0</v>
      </c>
      <c r="I6" s="62">
        <f>H6/H30*100</f>
        <v>0</v>
      </c>
    </row>
    <row r="7" spans="2:9" ht="12.75">
      <c r="B7" s="18"/>
      <c r="C7" s="44" t="str">
        <f>Баланс!B8</f>
        <v>Нематериальные активы (04, 05)</v>
      </c>
      <c r="D7" s="193">
        <f>Н120</f>
        <v>0</v>
      </c>
      <c r="E7" s="63">
        <f>D7/D30*100</f>
        <v>0</v>
      </c>
      <c r="F7" s="193">
        <f>К120</f>
        <v>0</v>
      </c>
      <c r="G7" s="64">
        <f>F7/F30*100</f>
        <v>0</v>
      </c>
      <c r="H7" s="207">
        <f t="shared" si="0"/>
        <v>0</v>
      </c>
      <c r="I7" s="65">
        <f>H7/H30*100</f>
        <v>0</v>
      </c>
    </row>
    <row r="8" spans="2:9" ht="12.75">
      <c r="B8" s="18"/>
      <c r="C8" s="44" t="str">
        <f>Баланс!B9</f>
        <v>Доходные вложения в материальные ценности (02, 03)</v>
      </c>
      <c r="D8" s="193">
        <f>Н130</f>
        <v>0</v>
      </c>
      <c r="E8" s="63">
        <f>D8/D30*100</f>
        <v>0</v>
      </c>
      <c r="F8" s="193">
        <f>К130</f>
        <v>0</v>
      </c>
      <c r="G8" s="64">
        <f>F8/F30*100</f>
        <v>0</v>
      </c>
      <c r="H8" s="207">
        <f t="shared" si="0"/>
        <v>0</v>
      </c>
      <c r="I8" s="65">
        <f>H8/H30*100</f>
        <v>0</v>
      </c>
    </row>
    <row r="9" spans="2:9" ht="12.75">
      <c r="B9" s="18"/>
      <c r="C9" s="44" t="str">
        <f>Баланс!B10</f>
        <v>Вложения во внеоборотные активы (07, 08, 16, 60)</v>
      </c>
      <c r="D9" s="193">
        <f>Н140</f>
        <v>68069</v>
      </c>
      <c r="E9" s="63">
        <f>D9/D30*100</f>
        <v>56.36950850896443</v>
      </c>
      <c r="F9" s="193">
        <f>К140</f>
        <v>68069</v>
      </c>
      <c r="G9" s="64">
        <f>F9/F30*100</f>
        <v>49.817034792663826</v>
      </c>
      <c r="H9" s="207">
        <f t="shared" si="0"/>
        <v>0</v>
      </c>
      <c r="I9" s="65">
        <f>H9/H30*100</f>
        <v>0</v>
      </c>
    </row>
    <row r="10" spans="2:9" ht="12.75">
      <c r="B10" s="18"/>
      <c r="C10" s="44" t="str">
        <f>Баланс!B11</f>
        <v>Прочие внеоборотные активы</v>
      </c>
      <c r="D10" s="193">
        <f>Н150</f>
        <v>0</v>
      </c>
      <c r="E10" s="63">
        <f>D10/D30*100</f>
        <v>0</v>
      </c>
      <c r="F10" s="193">
        <f>К150</f>
        <v>0</v>
      </c>
      <c r="G10" s="64">
        <f>F10/F30*100</f>
        <v>0</v>
      </c>
      <c r="H10" s="207">
        <f t="shared" si="0"/>
        <v>0</v>
      </c>
      <c r="I10" s="65">
        <f>H10/H30*100</f>
        <v>0</v>
      </c>
    </row>
    <row r="11" spans="3:9" s="48" customFormat="1" ht="5.25" customHeight="1">
      <c r="C11" s="3"/>
      <c r="D11" s="194"/>
      <c r="F11" s="194"/>
      <c r="H11" s="194"/>
      <c r="I11" s="108"/>
    </row>
    <row r="12" spans="2:9" ht="12.75">
      <c r="B12" s="111"/>
      <c r="C12" s="112" t="str">
        <f>Баланс!B14</f>
        <v>II. ОБОРОТНЫЕ АКТИВЫ</v>
      </c>
      <c r="D12" s="192">
        <f>Н290</f>
        <v>52686</v>
      </c>
      <c r="E12" s="109">
        <f>D12/D30*100</f>
        <v>43.63049149103556</v>
      </c>
      <c r="F12" s="192">
        <f>К290</f>
        <v>68569</v>
      </c>
      <c r="G12" s="109">
        <f>F12/F30*100</f>
        <v>50.182965207336174</v>
      </c>
      <c r="H12" s="192">
        <f>F12-D12</f>
        <v>15883</v>
      </c>
      <c r="I12" s="110">
        <f>H12/H30*100</f>
        <v>100</v>
      </c>
    </row>
    <row r="13" spans="2:9" ht="13.5" customHeight="1">
      <c r="B13" s="18"/>
      <c r="C13" s="44" t="str">
        <f>Баланс!B15</f>
        <v>Запасы и затраты</v>
      </c>
      <c r="D13" s="193">
        <f>Н210</f>
        <v>0</v>
      </c>
      <c r="E13" s="66">
        <f>D13/D30*100</f>
        <v>0</v>
      </c>
      <c r="F13" s="193">
        <f>К210</f>
        <v>0</v>
      </c>
      <c r="G13" s="67">
        <f>F13/F30*100</f>
        <v>0</v>
      </c>
      <c r="H13" s="208">
        <f>F13-D13</f>
        <v>0</v>
      </c>
      <c r="I13" s="68">
        <f>H13/H30*100</f>
        <v>0</v>
      </c>
    </row>
    <row r="14" spans="2:9" ht="12.75">
      <c r="B14" s="18"/>
      <c r="C14" s="11" t="str">
        <f>Баланс!B16</f>
        <v>Сырье, материалы и другие аналогичные ценности (10, 14, 15, 16)</v>
      </c>
      <c r="D14" s="193">
        <f>Н211</f>
        <v>0</v>
      </c>
      <c r="E14" s="53">
        <f>D14/D30*100</f>
        <v>0</v>
      </c>
      <c r="F14" s="193">
        <f>К211</f>
        <v>0</v>
      </c>
      <c r="G14" s="54">
        <f>F14/F30*100</f>
        <v>0</v>
      </c>
      <c r="H14" s="209">
        <f aca="true" t="shared" si="1" ref="H14:H21">F14-D14</f>
        <v>0</v>
      </c>
      <c r="I14" s="55">
        <f>H14/H30*100</f>
        <v>0</v>
      </c>
    </row>
    <row r="15" spans="2:9" ht="12.75">
      <c r="B15" s="18"/>
      <c r="C15" s="11" t="str">
        <f>Баланс!B17</f>
        <v>Животные на выращивании и откорме (11)</v>
      </c>
      <c r="D15" s="193">
        <f>Н212</f>
        <v>0</v>
      </c>
      <c r="E15" s="53">
        <f>D15/D30*100</f>
        <v>0</v>
      </c>
      <c r="F15" s="193">
        <f>К212</f>
        <v>0</v>
      </c>
      <c r="G15" s="54">
        <f>F15/F30*100</f>
        <v>0</v>
      </c>
      <c r="H15" s="209">
        <f t="shared" si="1"/>
        <v>0</v>
      </c>
      <c r="I15" s="55">
        <f>H15/H30*100</f>
        <v>0</v>
      </c>
    </row>
    <row r="16" spans="2:9" ht="12.75">
      <c r="B16" s="18"/>
      <c r="C16" s="11" t="str">
        <f>Баланс!B18</f>
        <v>Незавершенное производство (издержки обращения) (20, 21, 23, 29, 44)</v>
      </c>
      <c r="D16" s="193">
        <f>Н213</f>
        <v>0</v>
      </c>
      <c r="E16" s="53">
        <f>D16/D30*100</f>
        <v>0</v>
      </c>
      <c r="F16" s="193">
        <f>К213</f>
        <v>0</v>
      </c>
      <c r="G16" s="54">
        <f>F16/F30*100</f>
        <v>0</v>
      </c>
      <c r="H16" s="209">
        <f t="shared" si="1"/>
        <v>0</v>
      </c>
      <c r="I16" s="55">
        <f>H16/H30*100</f>
        <v>0</v>
      </c>
    </row>
    <row r="17" spans="2:9" ht="12.75">
      <c r="B17" s="18"/>
      <c r="C17" s="11" t="str">
        <f>Баланс!B19</f>
        <v>Прочие запасы и затраты</v>
      </c>
      <c r="D17" s="193">
        <f>Н214</f>
        <v>0</v>
      </c>
      <c r="E17" s="53">
        <f>D17/D30*100</f>
        <v>0</v>
      </c>
      <c r="F17" s="193">
        <f>К214</f>
        <v>0</v>
      </c>
      <c r="G17" s="54">
        <f>F17/F30*100</f>
        <v>0</v>
      </c>
      <c r="H17" s="209">
        <f t="shared" si="1"/>
        <v>0</v>
      </c>
      <c r="I17" s="55">
        <f>H17/H30*100</f>
        <v>0</v>
      </c>
    </row>
    <row r="18" spans="2:9" ht="12.75">
      <c r="B18" s="18"/>
      <c r="C18" s="44" t="str">
        <f>Баланс!B20</f>
        <v>Налоги по приобретенным ценностям (18, 76)</v>
      </c>
      <c r="D18" s="193">
        <f>Н220</f>
        <v>11602</v>
      </c>
      <c r="E18" s="53">
        <f>D18/D30*100</f>
        <v>9.607883731522504</v>
      </c>
      <c r="F18" s="193">
        <f>К220</f>
        <v>11637</v>
      </c>
      <c r="G18" s="54">
        <f>F18/F30*100</f>
        <v>8.516664471084178</v>
      </c>
      <c r="H18" s="209">
        <f t="shared" si="1"/>
        <v>35</v>
      </c>
      <c r="I18" s="55">
        <f>H18/H30*100</f>
        <v>0.22036139268400176</v>
      </c>
    </row>
    <row r="19" spans="2:9" ht="12.75">
      <c r="B19" s="18"/>
      <c r="C19" s="44" t="str">
        <f>Баланс!B21</f>
        <v>Готовая продукция и товары (40, 41, 43)</v>
      </c>
      <c r="D19" s="193">
        <f>Н230</f>
        <v>0</v>
      </c>
      <c r="E19" s="53">
        <f>D19/D30*100</f>
        <v>0</v>
      </c>
      <c r="F19" s="193">
        <f>К230</f>
        <v>0</v>
      </c>
      <c r="G19" s="54">
        <f>F19/F30*100</f>
        <v>0</v>
      </c>
      <c r="H19" s="209">
        <f t="shared" si="1"/>
        <v>0</v>
      </c>
      <c r="I19" s="55">
        <f>H19/H30*100</f>
        <v>0</v>
      </c>
    </row>
    <row r="20" spans="2:9" ht="25.5">
      <c r="B20" s="18"/>
      <c r="C20" s="44" t="str">
        <f>Баланс!B22</f>
        <v>Товары отгруженные, выполненные работы, оказанные услуги (45, 46)</v>
      </c>
      <c r="D20" s="193">
        <f>Н240</f>
        <v>0</v>
      </c>
      <c r="E20" s="53">
        <f>D20/D30*100</f>
        <v>0</v>
      </c>
      <c r="F20" s="193">
        <f>К240</f>
        <v>0</v>
      </c>
      <c r="G20" s="54">
        <f>F20/F30*100</f>
        <v>0</v>
      </c>
      <c r="H20" s="209">
        <f t="shared" si="1"/>
        <v>0</v>
      </c>
      <c r="I20" s="55">
        <f>H20/H30*100</f>
        <v>0</v>
      </c>
    </row>
    <row r="21" spans="2:9" ht="12.75">
      <c r="B21" s="18"/>
      <c r="C21" s="44" t="str">
        <f>Баланс!B23</f>
        <v>Дебиторская задолженность</v>
      </c>
      <c r="D21" s="193">
        <f>Н250</f>
        <v>40475</v>
      </c>
      <c r="E21" s="53">
        <f>D21/D30*100</f>
        <v>33.51828081652934</v>
      </c>
      <c r="F21" s="193">
        <f>К250</f>
        <v>56916</v>
      </c>
      <c r="G21" s="54">
        <f>F21/F30*100</f>
        <v>41.65459096298248</v>
      </c>
      <c r="H21" s="209">
        <f t="shared" si="1"/>
        <v>16441</v>
      </c>
      <c r="I21" s="55">
        <f>H21/H30*100</f>
        <v>103.51319020336209</v>
      </c>
    </row>
    <row r="22" spans="2:9" ht="12.75">
      <c r="B22" s="18"/>
      <c r="C22" s="11" t="str">
        <f>Баланс!B24</f>
        <v>Расчеты с покупателями и заказчиками (62, 63)</v>
      </c>
      <c r="D22" s="193">
        <f>Н251</f>
        <v>0</v>
      </c>
      <c r="E22" s="53">
        <f>D22/D30*100</f>
        <v>0</v>
      </c>
      <c r="F22" s="193">
        <f>К251</f>
        <v>0</v>
      </c>
      <c r="G22" s="54">
        <f>F22/F30*100</f>
        <v>0</v>
      </c>
      <c r="H22" s="209">
        <f>F22-D22</f>
        <v>0</v>
      </c>
      <c r="I22" s="55">
        <f>H22/H30*100</f>
        <v>0</v>
      </c>
    </row>
    <row r="23" spans="2:9" ht="12.75">
      <c r="B23" s="18"/>
      <c r="C23" s="11" t="str">
        <f>Баланс!B25</f>
        <v>Расчеты с учредителями по вкладам в уставный фонд(75)</v>
      </c>
      <c r="D23" s="193">
        <f>Н252</f>
        <v>2100</v>
      </c>
      <c r="E23" s="53">
        <f>D23/D30*100</f>
        <v>1.7390584240818185</v>
      </c>
      <c r="F23" s="193">
        <f>К252</f>
        <v>0</v>
      </c>
      <c r="G23" s="54">
        <f>F23/F30*100</f>
        <v>0</v>
      </c>
      <c r="H23" s="209">
        <f aca="true" t="shared" si="2" ref="H23:H30">F23-D23</f>
        <v>-2100</v>
      </c>
      <c r="I23" s="55">
        <f>H23/H30*100</f>
        <v>-13.221683561040107</v>
      </c>
    </row>
    <row r="24" spans="2:9" ht="12.75">
      <c r="B24" s="18"/>
      <c r="C24" s="11" t="str">
        <f>Баланс!B26</f>
        <v>Расчеты с разными дебиторами и кредиторами (76)</v>
      </c>
      <c r="D24" s="193">
        <f>Н253</f>
        <v>38375</v>
      </c>
      <c r="E24" s="53">
        <f>D24/D30*100</f>
        <v>31.77922239244752</v>
      </c>
      <c r="F24" s="193">
        <f>К253</f>
        <v>56397</v>
      </c>
      <c r="G24" s="54">
        <f>F24/F30*100</f>
        <v>41.27475519255259</v>
      </c>
      <c r="H24" s="209">
        <f t="shared" si="2"/>
        <v>18022</v>
      </c>
      <c r="I24" s="55">
        <f>H24/H30*100</f>
        <v>113.467229112888</v>
      </c>
    </row>
    <row r="25" spans="2:9" ht="12.75">
      <c r="B25" s="18"/>
      <c r="C25" s="11" t="str">
        <f>Баланс!B27</f>
        <v>Прочая дебиторская задолженность (60, 69)</v>
      </c>
      <c r="D25" s="193">
        <f>Н254</f>
        <v>0</v>
      </c>
      <c r="E25" s="53">
        <f>D25/D30*100</f>
        <v>0</v>
      </c>
      <c r="F25" s="193">
        <f>К254</f>
        <v>519</v>
      </c>
      <c r="G25" s="54">
        <f>F25/F30*100</f>
        <v>0.379835770429895</v>
      </c>
      <c r="H25" s="209">
        <f t="shared" si="2"/>
        <v>519</v>
      </c>
      <c r="I25" s="55">
        <f>H25/H30*100</f>
        <v>3.2676446515141975</v>
      </c>
    </row>
    <row r="26" spans="2:9" ht="12.75">
      <c r="B26" s="18"/>
      <c r="C26" s="44" t="str">
        <f>Баланс!B28</f>
        <v>Финансовые вложения (58, 59)</v>
      </c>
      <c r="D26" s="193">
        <f>Н260</f>
        <v>0</v>
      </c>
      <c r="E26" s="53">
        <f>D26/D30*100</f>
        <v>0</v>
      </c>
      <c r="F26" s="193">
        <f>К260</f>
        <v>0</v>
      </c>
      <c r="G26" s="54">
        <f>F26/F30*100</f>
        <v>0</v>
      </c>
      <c r="H26" s="209">
        <f t="shared" si="2"/>
        <v>0</v>
      </c>
      <c r="I26" s="55">
        <f>H26/H30*100</f>
        <v>0</v>
      </c>
    </row>
    <row r="27" spans="2:9" ht="12.75">
      <c r="B27" s="18"/>
      <c r="C27" s="44" t="str">
        <f>Баланс!B29</f>
        <v>Денежные средства (50, 51, 52, 55, 57)</v>
      </c>
      <c r="D27" s="193">
        <f>Н270</f>
        <v>609</v>
      </c>
      <c r="E27" s="53">
        <f>D27/D30*100</f>
        <v>0.5043269429837274</v>
      </c>
      <c r="F27" s="193">
        <f>К270</f>
        <v>16</v>
      </c>
      <c r="G27" s="54">
        <f>F27/F30*100</f>
        <v>0.01170977326951507</v>
      </c>
      <c r="H27" s="209">
        <f t="shared" si="2"/>
        <v>-593</v>
      </c>
      <c r="I27" s="55">
        <f>H27/H30*100</f>
        <v>-3.733551596046087</v>
      </c>
    </row>
    <row r="28" spans="2:9" ht="12.75">
      <c r="B28" s="18"/>
      <c r="C28" s="44" t="str">
        <f>Баланс!B30</f>
        <v>Прочие оборотные активы</v>
      </c>
      <c r="D28" s="193">
        <f>Н280</f>
        <v>0</v>
      </c>
      <c r="E28" s="53">
        <f>D28/D30*100</f>
        <v>0</v>
      </c>
      <c r="F28" s="193">
        <f>К280</f>
        <v>0</v>
      </c>
      <c r="G28" s="54">
        <f>F28/F30*100</f>
        <v>0</v>
      </c>
      <c r="H28" s="209">
        <f t="shared" si="2"/>
        <v>0</v>
      </c>
      <c r="I28" s="55">
        <f>H28/H30*100</f>
        <v>0</v>
      </c>
    </row>
    <row r="29" spans="3:9" s="48" customFormat="1" ht="5.25" customHeight="1">
      <c r="C29" s="3">
        <f>Баланс!B32</f>
        <v>0</v>
      </c>
      <c r="D29" s="194">
        <f>Баланс!D28</f>
        <v>0</v>
      </c>
      <c r="F29" s="194">
        <f>Баланс!E28</f>
        <v>0</v>
      </c>
      <c r="H29" s="194">
        <f t="shared" si="2"/>
        <v>0</v>
      </c>
      <c r="I29" s="108"/>
    </row>
    <row r="30" spans="2:10" ht="12.75">
      <c r="B30" s="22"/>
      <c r="C30" s="113" t="str">
        <f>Баланс!B33</f>
        <v>БАЛАНС  (сумма строк 190 + 290)</v>
      </c>
      <c r="D30" s="195">
        <f>Н390</f>
        <v>120755</v>
      </c>
      <c r="E30" s="114">
        <v>100</v>
      </c>
      <c r="F30" s="195">
        <f>К390</f>
        <v>136638</v>
      </c>
      <c r="G30" s="114">
        <v>100</v>
      </c>
      <c r="H30" s="195">
        <f t="shared" si="2"/>
        <v>15883</v>
      </c>
      <c r="I30" s="115">
        <f>SUM(I5+I12)</f>
        <v>100</v>
      </c>
      <c r="J30" s="2"/>
    </row>
    <row r="31" spans="2:9" s="2" customFormat="1" ht="12.75">
      <c r="B31" s="6"/>
      <c r="C31" s="7" t="s">
        <v>29</v>
      </c>
      <c r="D31" s="196"/>
      <c r="E31" s="69"/>
      <c r="F31" s="196"/>
      <c r="G31" s="69"/>
      <c r="H31" s="196"/>
      <c r="I31" s="69"/>
    </row>
    <row r="32" spans="2:9" ht="12.75">
      <c r="B32" s="85"/>
      <c r="C32" s="86" t="str">
        <f>Баланс!B40</f>
        <v>III. ИСТОЧНИК СОБСТВЕННЫХ СРЕДСТВ</v>
      </c>
      <c r="D32" s="197">
        <f>Н590</f>
        <v>2113</v>
      </c>
      <c r="E32" s="87">
        <f>D32/$D$64*100</f>
        <v>1.749824023849944</v>
      </c>
      <c r="F32" s="197">
        <f>К590</f>
        <v>57862</v>
      </c>
      <c r="G32" s="87">
        <f>F32/$F$64*100</f>
        <v>42.346931307542555</v>
      </c>
      <c r="H32" s="197">
        <f>F32-D32</f>
        <v>55749</v>
      </c>
      <c r="I32" s="87">
        <f>H32/$H$64*100</f>
        <v>350.997922306869</v>
      </c>
    </row>
    <row r="33" spans="2:9" ht="14.25" customHeight="1">
      <c r="B33" s="5"/>
      <c r="C33" s="44" t="str">
        <f>Баланс!B41</f>
        <v>Уставный фонд (капитал)  (80)</v>
      </c>
      <c r="D33" s="193">
        <f>Н510</f>
        <v>4200</v>
      </c>
      <c r="E33" s="70">
        <f aca="true" t="shared" si="3" ref="E33:E39">D33/$D$64*100</f>
        <v>3.478116848163637</v>
      </c>
      <c r="F33" s="193">
        <f>К510</f>
        <v>60000</v>
      </c>
      <c r="G33" s="71">
        <f aca="true" t="shared" si="4" ref="G33:G39">F33/$F$64*100</f>
        <v>43.911649760681506</v>
      </c>
      <c r="H33" s="206">
        <f>F33-D33</f>
        <v>55800</v>
      </c>
      <c r="I33" s="72">
        <f aca="true" t="shared" si="5" ref="I33:I39">H33/$H$64*100</f>
        <v>351.3190203362085</v>
      </c>
    </row>
    <row r="34" spans="2:9" ht="12.75">
      <c r="B34" s="5"/>
      <c r="C34" s="11" t="str">
        <f>Баланс!B42</f>
        <v>Собственные акции (доли), выкупленные у акционеров (учредителей) (81)</v>
      </c>
      <c r="D34" s="193">
        <f>Н515</f>
        <v>0</v>
      </c>
      <c r="E34" s="73">
        <f t="shared" si="3"/>
        <v>0</v>
      </c>
      <c r="F34" s="199">
        <f>К515</f>
        <v>0</v>
      </c>
      <c r="G34" s="74">
        <f t="shared" si="4"/>
        <v>0</v>
      </c>
      <c r="H34" s="207">
        <f aca="true" t="shared" si="6" ref="H34:H39">F34-D34</f>
        <v>0</v>
      </c>
      <c r="I34" s="75">
        <f t="shared" si="5"/>
        <v>0</v>
      </c>
    </row>
    <row r="35" spans="2:9" ht="12.75">
      <c r="B35" s="18"/>
      <c r="C35" s="44" t="str">
        <f>Баланс!B43</f>
        <v>Резервный фонд  (82)</v>
      </c>
      <c r="D35" s="193">
        <f>Н520</f>
        <v>0</v>
      </c>
      <c r="E35" s="73">
        <f t="shared" si="3"/>
        <v>0</v>
      </c>
      <c r="F35" s="199">
        <f>К520</f>
        <v>0</v>
      </c>
      <c r="G35" s="74">
        <f t="shared" si="4"/>
        <v>0</v>
      </c>
      <c r="H35" s="207">
        <f t="shared" si="6"/>
        <v>0</v>
      </c>
      <c r="I35" s="75">
        <f t="shared" si="5"/>
        <v>0</v>
      </c>
    </row>
    <row r="36" spans="2:9" ht="12.75">
      <c r="B36" s="5"/>
      <c r="C36" s="44" t="str">
        <f>Баланс!B44</f>
        <v>Добавочный фонд (83)</v>
      </c>
      <c r="D36" s="193">
        <f>Н530</f>
        <v>3791</v>
      </c>
      <c r="E36" s="73">
        <f t="shared" si="3"/>
        <v>3.139414516997226</v>
      </c>
      <c r="F36" s="199">
        <f>К530</f>
        <v>3791</v>
      </c>
      <c r="G36" s="74">
        <f t="shared" si="4"/>
        <v>2.774484404045727</v>
      </c>
      <c r="H36" s="207">
        <f t="shared" si="6"/>
        <v>0</v>
      </c>
      <c r="I36" s="75">
        <f t="shared" si="5"/>
        <v>0</v>
      </c>
    </row>
    <row r="37" spans="2:9" ht="12.75">
      <c r="B37" s="5"/>
      <c r="C37" s="44" t="str">
        <f>Баланс!B45</f>
        <v>Нераспределенная прибыль (84)</v>
      </c>
      <c r="D37" s="193">
        <f>Н540</f>
        <v>0</v>
      </c>
      <c r="E37" s="73">
        <f t="shared" si="3"/>
        <v>0</v>
      </c>
      <c r="F37" s="199">
        <f>К540</f>
        <v>0</v>
      </c>
      <c r="G37" s="74">
        <f t="shared" si="4"/>
        <v>0</v>
      </c>
      <c r="H37" s="207">
        <f t="shared" si="6"/>
        <v>0</v>
      </c>
      <c r="I37" s="75">
        <f t="shared" si="5"/>
        <v>0</v>
      </c>
    </row>
    <row r="38" spans="2:9" ht="12.75">
      <c r="B38" s="5"/>
      <c r="C38" s="44" t="str">
        <f>Баланс!B46</f>
        <v>Непокрытый убыток (84)</v>
      </c>
      <c r="D38" s="193">
        <f>Н550</f>
        <v>-5878</v>
      </c>
      <c r="E38" s="73">
        <f t="shared" si="3"/>
        <v>-4.867707341310918</v>
      </c>
      <c r="F38" s="199">
        <f>К550</f>
        <v>-5878</v>
      </c>
      <c r="G38" s="74">
        <f t="shared" si="4"/>
        <v>-4.3018779548880985</v>
      </c>
      <c r="H38" s="207">
        <f t="shared" si="6"/>
        <v>0</v>
      </c>
      <c r="I38" s="75">
        <f t="shared" si="5"/>
        <v>0</v>
      </c>
    </row>
    <row r="39" spans="2:9" ht="12.75">
      <c r="B39" s="5"/>
      <c r="C39" s="44" t="str">
        <f>Баланс!B47</f>
        <v>Целевое финансирование (86)</v>
      </c>
      <c r="D39" s="193">
        <f>Н560</f>
        <v>0</v>
      </c>
      <c r="E39" s="73">
        <f t="shared" si="3"/>
        <v>0</v>
      </c>
      <c r="F39" s="199">
        <f>К560</f>
        <v>-51</v>
      </c>
      <c r="G39" s="74">
        <f t="shared" si="4"/>
        <v>-0.03732490229657928</v>
      </c>
      <c r="H39" s="207">
        <f t="shared" si="6"/>
        <v>-51</v>
      </c>
      <c r="I39" s="75">
        <f t="shared" si="5"/>
        <v>-0.3210980293395454</v>
      </c>
    </row>
    <row r="40" spans="3:9" s="46" customFormat="1" ht="6" customHeight="1">
      <c r="C40" s="47"/>
      <c r="D40" s="198"/>
      <c r="E40" s="76"/>
      <c r="F40" s="198"/>
      <c r="G40" s="76"/>
      <c r="H40" s="198"/>
      <c r="I40" s="76"/>
    </row>
    <row r="41" spans="2:9" ht="12.75">
      <c r="B41" s="85"/>
      <c r="C41" s="86" t="str">
        <f>Баланс!B50</f>
        <v>IV. ДОХОДЫ И РАСХОДЫ</v>
      </c>
      <c r="D41" s="197">
        <f>Н690</f>
        <v>0</v>
      </c>
      <c r="E41" s="87">
        <f aca="true" t="shared" si="7" ref="E41:E47">D41/$D$64*100</f>
        <v>0</v>
      </c>
      <c r="F41" s="197">
        <f>К690</f>
        <v>-10301</v>
      </c>
      <c r="G41" s="87">
        <f aca="true" t="shared" si="8" ref="G41:G47">F41/$F$64*100</f>
        <v>-7.538898403079671</v>
      </c>
      <c r="H41" s="197">
        <f aca="true" t="shared" si="9" ref="H41:H47">F41-D41</f>
        <v>-10301</v>
      </c>
      <c r="I41" s="87">
        <f aca="true" t="shared" si="10" ref="I41:I47">H41/$H$64*100</f>
        <v>-64.8555058867972</v>
      </c>
    </row>
    <row r="42" spans="2:9" ht="12.75">
      <c r="B42" s="18"/>
      <c r="C42" s="44" t="str">
        <f>Баланс!B51</f>
        <v>Резервы предстоящих расходов (96)</v>
      </c>
      <c r="D42" s="199">
        <f>Н610</f>
        <v>0</v>
      </c>
      <c r="E42" s="73">
        <f t="shared" si="7"/>
        <v>0</v>
      </c>
      <c r="F42" s="199">
        <f>К610</f>
        <v>0</v>
      </c>
      <c r="G42" s="74">
        <f t="shared" si="8"/>
        <v>0</v>
      </c>
      <c r="H42" s="207">
        <f t="shared" si="9"/>
        <v>0</v>
      </c>
      <c r="I42" s="75">
        <f t="shared" si="10"/>
        <v>0</v>
      </c>
    </row>
    <row r="43" spans="2:9" ht="12.75">
      <c r="B43" s="18"/>
      <c r="C43" s="44" t="str">
        <f>Баланс!B52</f>
        <v>Расходы будущих периодов (97)</v>
      </c>
      <c r="D43" s="199">
        <f>Н620</f>
        <v>0</v>
      </c>
      <c r="E43" s="73">
        <f t="shared" si="7"/>
        <v>0</v>
      </c>
      <c r="F43" s="199">
        <f>К620</f>
        <v>-10283</v>
      </c>
      <c r="G43" s="74">
        <f t="shared" si="8"/>
        <v>-7.525724908151465</v>
      </c>
      <c r="H43" s="207">
        <f t="shared" si="9"/>
        <v>-10283</v>
      </c>
      <c r="I43" s="75">
        <f t="shared" si="10"/>
        <v>-64.74217717055973</v>
      </c>
    </row>
    <row r="44" spans="2:9" ht="12.75">
      <c r="B44" s="18"/>
      <c r="C44" s="44" t="str">
        <f>Баланс!B53</f>
        <v>Доходы будущих периодов (98)</v>
      </c>
      <c r="D44" s="199">
        <f>Н630</f>
        <v>0</v>
      </c>
      <c r="E44" s="73">
        <f t="shared" si="7"/>
        <v>0</v>
      </c>
      <c r="F44" s="199">
        <f>К630</f>
        <v>0</v>
      </c>
      <c r="G44" s="74">
        <f t="shared" si="8"/>
        <v>0</v>
      </c>
      <c r="H44" s="207">
        <f t="shared" si="9"/>
        <v>0</v>
      </c>
      <c r="I44" s="75">
        <f t="shared" si="10"/>
        <v>0</v>
      </c>
    </row>
    <row r="45" spans="2:9" ht="12.75">
      <c r="B45" s="18"/>
      <c r="C45" s="44" t="str">
        <f>Баланс!B54</f>
        <v>Прибыль отчетного года  (99)</v>
      </c>
      <c r="D45" s="199">
        <f>Н640</f>
        <v>0</v>
      </c>
      <c r="E45" s="73">
        <f t="shared" si="7"/>
        <v>0</v>
      </c>
      <c r="F45" s="199">
        <f>К640</f>
        <v>0</v>
      </c>
      <c r="G45" s="74">
        <f t="shared" si="8"/>
        <v>0</v>
      </c>
      <c r="H45" s="207">
        <f t="shared" si="9"/>
        <v>0</v>
      </c>
      <c r="I45" s="75">
        <f t="shared" si="10"/>
        <v>0</v>
      </c>
    </row>
    <row r="46" spans="2:9" ht="12.75">
      <c r="B46" s="18"/>
      <c r="C46" s="44" t="str">
        <f>Баланс!B55</f>
        <v>Убыток отчетного года  (99)</v>
      </c>
      <c r="D46" s="199">
        <f>Н650</f>
        <v>0</v>
      </c>
      <c r="E46" s="73">
        <f t="shared" si="7"/>
        <v>0</v>
      </c>
      <c r="F46" s="199">
        <f>К650</f>
        <v>-18</v>
      </c>
      <c r="G46" s="74">
        <f t="shared" si="8"/>
        <v>-0.013173494928204452</v>
      </c>
      <c r="H46" s="207">
        <f t="shared" si="9"/>
        <v>-18</v>
      </c>
      <c r="I46" s="75">
        <f t="shared" si="10"/>
        <v>-0.11332871623748661</v>
      </c>
    </row>
    <row r="47" spans="2:9" ht="12.75">
      <c r="B47" s="18"/>
      <c r="C47" s="44" t="str">
        <f>Баланс!B56</f>
        <v>Прочие доходы и расходы</v>
      </c>
      <c r="D47" s="199">
        <f>Н660</f>
        <v>0</v>
      </c>
      <c r="E47" s="73">
        <f t="shared" si="7"/>
        <v>0</v>
      </c>
      <c r="F47" s="199">
        <f>К660</f>
        <v>0</v>
      </c>
      <c r="G47" s="74">
        <f t="shared" si="8"/>
        <v>0</v>
      </c>
      <c r="H47" s="207">
        <f t="shared" si="9"/>
        <v>0</v>
      </c>
      <c r="I47" s="75">
        <f t="shared" si="10"/>
        <v>0</v>
      </c>
    </row>
    <row r="48" spans="2:9" s="46" customFormat="1" ht="6" customHeight="1">
      <c r="B48" s="48"/>
      <c r="C48" s="49"/>
      <c r="D48" s="200"/>
      <c r="E48" s="77"/>
      <c r="F48" s="200"/>
      <c r="G48" s="77"/>
      <c r="H48" s="200"/>
      <c r="I48" s="77"/>
    </row>
    <row r="49" spans="2:9" ht="12.75">
      <c r="B49" s="85"/>
      <c r="C49" s="86" t="str">
        <f>Баланс!B59</f>
        <v>V. РАСЧЕТЫ</v>
      </c>
      <c r="D49" s="197">
        <f>Н790</f>
        <v>118642</v>
      </c>
      <c r="E49" s="87">
        <f aca="true" t="shared" si="11" ref="E49:E60">D49/$D$64*100</f>
        <v>98.25017597615006</v>
      </c>
      <c r="F49" s="197">
        <f>К790</f>
        <v>89077</v>
      </c>
      <c r="G49" s="87">
        <f aca="true" t="shared" si="12" ref="G49:G60">F49/$F$64*100</f>
        <v>65.19196709553712</v>
      </c>
      <c r="H49" s="197">
        <f>F49-D49</f>
        <v>-29565</v>
      </c>
      <c r="I49" s="87">
        <f aca="true" t="shared" si="13" ref="I49:I60">H49/$H$64*100</f>
        <v>-186.14241642007175</v>
      </c>
    </row>
    <row r="50" spans="2:9" ht="12.75">
      <c r="B50" s="5"/>
      <c r="C50" s="44" t="str">
        <f>Баланс!B60</f>
        <v>Краткосрочные кредиты и займы (66)</v>
      </c>
      <c r="D50" s="201">
        <f>Н710</f>
        <v>0</v>
      </c>
      <c r="E50" s="82">
        <f t="shared" si="11"/>
        <v>0</v>
      </c>
      <c r="F50" s="201">
        <f>К710</f>
        <v>0</v>
      </c>
      <c r="G50" s="83">
        <f t="shared" si="12"/>
        <v>0</v>
      </c>
      <c r="H50" s="208">
        <f>F50-D50</f>
        <v>0</v>
      </c>
      <c r="I50" s="84">
        <f t="shared" si="13"/>
        <v>0</v>
      </c>
    </row>
    <row r="51" spans="2:9" s="4" customFormat="1" ht="12.75">
      <c r="B51" s="5"/>
      <c r="C51" s="44" t="str">
        <f>Баланс!B61</f>
        <v>Долгосрочные кредиты и займы (67)</v>
      </c>
      <c r="D51" s="202">
        <f>Н720</f>
        <v>0</v>
      </c>
      <c r="E51" s="56">
        <f t="shared" si="11"/>
        <v>0</v>
      </c>
      <c r="F51" s="202">
        <f>К720</f>
        <v>0</v>
      </c>
      <c r="G51" s="57">
        <f t="shared" si="12"/>
        <v>0</v>
      </c>
      <c r="H51" s="209">
        <f aca="true" t="shared" si="14" ref="H51:H62">F51-D51</f>
        <v>0</v>
      </c>
      <c r="I51" s="58">
        <f t="shared" si="13"/>
        <v>0</v>
      </c>
    </row>
    <row r="52" spans="2:9" s="4" customFormat="1" ht="12.75">
      <c r="B52" s="5"/>
      <c r="C52" s="44" t="str">
        <f>Баланс!B62</f>
        <v>Кредиторская задолженность</v>
      </c>
      <c r="D52" s="203">
        <f>Н730</f>
        <v>118642</v>
      </c>
      <c r="E52" s="78">
        <f t="shared" si="11"/>
        <v>98.25017597615006</v>
      </c>
      <c r="F52" s="203">
        <f>К730</f>
        <v>89077</v>
      </c>
      <c r="G52" s="79">
        <f t="shared" si="12"/>
        <v>65.19196709553712</v>
      </c>
      <c r="H52" s="210">
        <f t="shared" si="14"/>
        <v>-29565</v>
      </c>
      <c r="I52" s="80">
        <f t="shared" si="13"/>
        <v>-186.14241642007175</v>
      </c>
    </row>
    <row r="53" spans="2:9" ht="12.75">
      <c r="B53" s="5"/>
      <c r="C53" s="11" t="str">
        <f>Баланс!B63</f>
        <v>Расчеты с поставщикамии подрядчиками (60, 62)</v>
      </c>
      <c r="D53" s="199">
        <f>Н731</f>
        <v>14635</v>
      </c>
      <c r="E53" s="73">
        <f t="shared" si="11"/>
        <v>12.119580969732102</v>
      </c>
      <c r="F53" s="199">
        <f>К731</f>
        <v>6420</v>
      </c>
      <c r="G53" s="74">
        <f t="shared" si="12"/>
        <v>4.698546524392921</v>
      </c>
      <c r="H53" s="207">
        <f t="shared" si="14"/>
        <v>-8215</v>
      </c>
      <c r="I53" s="75">
        <f t="shared" si="13"/>
        <v>-51.72196688283069</v>
      </c>
    </row>
    <row r="54" spans="2:9" s="4" customFormat="1" ht="12.75">
      <c r="B54" s="5"/>
      <c r="C54" s="11" t="str">
        <f>Баланс!B64</f>
        <v>Расчеты по оплате труда (70)</v>
      </c>
      <c r="D54" s="202">
        <f>Н732</f>
        <v>1007</v>
      </c>
      <c r="E54" s="56">
        <f t="shared" si="11"/>
        <v>0.8339199205001863</v>
      </c>
      <c r="F54" s="202">
        <f>К732</f>
        <v>2726</v>
      </c>
      <c r="G54" s="57">
        <f t="shared" si="12"/>
        <v>1.9950526207936299</v>
      </c>
      <c r="H54" s="209">
        <f t="shared" si="14"/>
        <v>1719</v>
      </c>
      <c r="I54" s="58">
        <f t="shared" si="13"/>
        <v>10.822892400679972</v>
      </c>
    </row>
    <row r="55" spans="2:9" s="4" customFormat="1" ht="12.75">
      <c r="B55" s="5"/>
      <c r="C55" s="11" t="str">
        <f>Баланс!B65</f>
        <v>Расчеты по прочим операциям с персоналом</v>
      </c>
      <c r="D55" s="202">
        <f>Н733</f>
        <v>0</v>
      </c>
      <c r="E55" s="56">
        <f t="shared" si="11"/>
        <v>0</v>
      </c>
      <c r="F55" s="202">
        <f>К733</f>
        <v>0</v>
      </c>
      <c r="G55" s="57">
        <f t="shared" si="12"/>
        <v>0</v>
      </c>
      <c r="H55" s="209">
        <f t="shared" si="14"/>
        <v>0</v>
      </c>
      <c r="I55" s="58">
        <f t="shared" si="13"/>
        <v>0</v>
      </c>
    </row>
    <row r="56" spans="2:9" s="4" customFormat="1" ht="12.75">
      <c r="B56" s="5"/>
      <c r="C56" s="11" t="str">
        <f>Баланс!B66</f>
        <v>Расчеты по налогом и сборам (68)</v>
      </c>
      <c r="D56" s="202">
        <f>Н734</f>
        <v>37</v>
      </c>
      <c r="E56" s="56">
        <f t="shared" si="11"/>
        <v>0.03064055318620347</v>
      </c>
      <c r="F56" s="202">
        <f>К734</f>
        <v>0</v>
      </c>
      <c r="G56" s="57">
        <f t="shared" si="12"/>
        <v>0</v>
      </c>
      <c r="H56" s="209">
        <f t="shared" si="14"/>
        <v>-37</v>
      </c>
      <c r="I56" s="58">
        <f t="shared" si="13"/>
        <v>-0.23295347226594473</v>
      </c>
    </row>
    <row r="57" spans="2:9" s="4" customFormat="1" ht="12.75">
      <c r="B57" s="5"/>
      <c r="C57" s="11" t="str">
        <f>Баланс!B67</f>
        <v>Расчеты по социальному страхованию и обеспечению (69)</v>
      </c>
      <c r="D57" s="202">
        <f>Н735</f>
        <v>395</v>
      </c>
      <c r="E57" s="56">
        <f t="shared" si="11"/>
        <v>0.3271086083391992</v>
      </c>
      <c r="F57" s="202">
        <f>К735</f>
        <v>348</v>
      </c>
      <c r="G57" s="57">
        <f t="shared" si="12"/>
        <v>0.25468756861195274</v>
      </c>
      <c r="H57" s="209">
        <f>F57-D57</f>
        <v>-47</v>
      </c>
      <c r="I57" s="58">
        <f t="shared" si="13"/>
        <v>-0.2959138701756595</v>
      </c>
    </row>
    <row r="58" spans="2:9" s="4" customFormat="1" ht="22.5">
      <c r="B58" s="5"/>
      <c r="C58" s="11" t="str">
        <f>Баланс!B68</f>
        <v>Расчеты с акционерами (учредителями) по выплате доходов (дивидентов) (75)</v>
      </c>
      <c r="D58" s="202">
        <f>Н736</f>
        <v>0</v>
      </c>
      <c r="E58" s="56">
        <f t="shared" si="11"/>
        <v>0</v>
      </c>
      <c r="F58" s="202">
        <f>К736</f>
        <v>0</v>
      </c>
      <c r="G58" s="57">
        <f t="shared" si="12"/>
        <v>0</v>
      </c>
      <c r="H58" s="209">
        <f>F58-D58</f>
        <v>0</v>
      </c>
      <c r="I58" s="58">
        <f t="shared" si="13"/>
        <v>0</v>
      </c>
    </row>
    <row r="59" spans="2:9" s="4" customFormat="1" ht="12.75">
      <c r="B59" s="5"/>
      <c r="C59" s="11" t="str">
        <f>Баланс!B69</f>
        <v>Расчеты с разными дебиторами и кредиторами (76)</v>
      </c>
      <c r="D59" s="202">
        <f>Н737</f>
        <v>102568</v>
      </c>
      <c r="E59" s="56">
        <f t="shared" si="11"/>
        <v>84.93892592439236</v>
      </c>
      <c r="F59" s="202">
        <f>К737</f>
        <v>79583</v>
      </c>
      <c r="G59" s="57">
        <f t="shared" si="12"/>
        <v>58.243680381738606</v>
      </c>
      <c r="H59" s="209">
        <f t="shared" si="14"/>
        <v>-22985</v>
      </c>
      <c r="I59" s="58">
        <f t="shared" si="13"/>
        <v>-144.71447459547943</v>
      </c>
    </row>
    <row r="60" spans="2:9" s="4" customFormat="1" ht="12.75">
      <c r="B60" s="5"/>
      <c r="C60" s="44" t="str">
        <f>Баланс!B70</f>
        <v>Прочие виды обязательств</v>
      </c>
      <c r="D60" s="202">
        <f>Н740</f>
        <v>0</v>
      </c>
      <c r="E60" s="56">
        <f t="shared" si="11"/>
        <v>0</v>
      </c>
      <c r="F60" s="202">
        <f>К740</f>
        <v>0</v>
      </c>
      <c r="G60" s="57">
        <f t="shared" si="12"/>
        <v>0</v>
      </c>
      <c r="H60" s="209">
        <f t="shared" si="14"/>
        <v>0</v>
      </c>
      <c r="I60" s="58">
        <f t="shared" si="13"/>
        <v>0</v>
      </c>
    </row>
    <row r="61" spans="2:9" s="46" customFormat="1" ht="6" customHeight="1">
      <c r="B61" s="48"/>
      <c r="C61" s="49"/>
      <c r="D61" s="200"/>
      <c r="E61" s="77"/>
      <c r="F61" s="200"/>
      <c r="G61" s="77"/>
      <c r="H61" s="200"/>
      <c r="I61" s="77"/>
    </row>
    <row r="62" spans="2:9" s="4" customFormat="1" ht="12.75" hidden="1">
      <c r="B62" s="5"/>
      <c r="C62" s="44">
        <f>Баланс!B72</f>
        <v>0</v>
      </c>
      <c r="D62" s="202" t="e">
        <f>Баланс!#REF!</f>
        <v>#REF!</v>
      </c>
      <c r="E62" s="56" t="e">
        <f>D62/$D$64*100</f>
        <v>#REF!</v>
      </c>
      <c r="F62" s="202" t="e">
        <f>Баланс!#REF!</f>
        <v>#REF!</v>
      </c>
      <c r="G62" s="57" t="e">
        <f>F62/$F$64*100</f>
        <v>#REF!</v>
      </c>
      <c r="H62" s="209" t="e">
        <f t="shared" si="14"/>
        <v>#REF!</v>
      </c>
      <c r="I62" s="58" t="e">
        <f>H62/$H$64*100</f>
        <v>#REF!</v>
      </c>
    </row>
    <row r="63" spans="3:9" s="50" customFormat="1" ht="3" customHeight="1" hidden="1">
      <c r="C63" s="51"/>
      <c r="D63" s="204"/>
      <c r="E63" s="29"/>
      <c r="F63" s="204"/>
      <c r="G63" s="29"/>
      <c r="H63" s="204"/>
      <c r="I63" s="81"/>
    </row>
    <row r="64" spans="2:9" s="2" customFormat="1" ht="12.75">
      <c r="B64" s="88"/>
      <c r="C64" s="89" t="s">
        <v>30</v>
      </c>
      <c r="D64" s="205">
        <f>Н890</f>
        <v>120755</v>
      </c>
      <c r="E64" s="90">
        <v>100</v>
      </c>
      <c r="F64" s="205">
        <f>К890</f>
        <v>136638</v>
      </c>
      <c r="G64" s="90">
        <v>100</v>
      </c>
      <c r="H64" s="205">
        <f>F64-D64</f>
        <v>15883</v>
      </c>
      <c r="I64" s="90">
        <v>100</v>
      </c>
    </row>
    <row r="65" spans="2:9" s="2" customFormat="1" ht="5.25" customHeight="1" hidden="1">
      <c r="B65" s="6"/>
      <c r="C65" s="7"/>
      <c r="D65" s="59"/>
      <c r="E65" s="98"/>
      <c r="F65" s="59"/>
      <c r="G65" s="98"/>
      <c r="H65" s="59"/>
      <c r="I65" s="98"/>
    </row>
    <row r="66" spans="2:9" s="2" customFormat="1" ht="12" customHeight="1">
      <c r="B66" s="6"/>
      <c r="C66" s="7"/>
      <c r="D66" s="8"/>
      <c r="E66" s="15"/>
      <c r="F66" s="99"/>
      <c r="G66" s="15"/>
      <c r="H66" s="16"/>
      <c r="I66" s="15"/>
    </row>
    <row r="67" spans="2:6" s="2" customFormat="1" ht="27" customHeight="1">
      <c r="B67" s="6"/>
      <c r="C67" s="7" t="s">
        <v>208</v>
      </c>
      <c r="D67" s="8"/>
      <c r="E67" s="378"/>
      <c r="F67" s="379"/>
    </row>
    <row r="68" spans="2:6" s="2" customFormat="1" ht="27" customHeight="1">
      <c r="B68" s="324"/>
      <c r="C68" s="326" t="s">
        <v>12</v>
      </c>
      <c r="D68" s="325"/>
      <c r="E68" s="407" t="s">
        <v>207</v>
      </c>
      <c r="F68" s="408"/>
    </row>
    <row r="69" spans="1:6" ht="12.75">
      <c r="A69" s="2"/>
      <c r="B69" s="323">
        <v>1</v>
      </c>
      <c r="C69" s="372" t="s">
        <v>202</v>
      </c>
      <c r="D69" s="373"/>
      <c r="E69" s="380">
        <f>ОН010</f>
        <v>0</v>
      </c>
      <c r="F69" s="381"/>
    </row>
    <row r="70" spans="1:6" ht="12.75">
      <c r="A70" s="2"/>
      <c r="B70" s="320">
        <v>2</v>
      </c>
      <c r="C70" s="386" t="s">
        <v>203</v>
      </c>
      <c r="D70" s="387"/>
      <c r="E70" s="382">
        <f>ОН030</f>
        <v>0</v>
      </c>
      <c r="F70" s="383"/>
    </row>
    <row r="71" spans="1:6" ht="12.75">
      <c r="A71" s="2"/>
      <c r="B71" s="320">
        <v>3</v>
      </c>
      <c r="C71" s="327" t="s">
        <v>213</v>
      </c>
      <c r="D71" s="322"/>
      <c r="E71" s="328"/>
      <c r="F71" s="329">
        <f>E72+E73+E74</f>
        <v>0</v>
      </c>
    </row>
    <row r="72" spans="1:6" ht="12.75">
      <c r="A72" s="2"/>
      <c r="B72" s="321">
        <v>4</v>
      </c>
      <c r="C72" s="388" t="s">
        <v>74</v>
      </c>
      <c r="D72" s="389"/>
      <c r="E72" s="384">
        <f>ОН040</f>
        <v>0</v>
      </c>
      <c r="F72" s="385"/>
    </row>
    <row r="73" spans="1:6" ht="12.75">
      <c r="A73" s="2"/>
      <c r="B73" s="321">
        <v>5</v>
      </c>
      <c r="C73" s="395" t="s">
        <v>8</v>
      </c>
      <c r="D73" s="396"/>
      <c r="E73" s="374">
        <f>ОН050</f>
        <v>0</v>
      </c>
      <c r="F73" s="375"/>
    </row>
    <row r="74" spans="1:6" ht="12.75">
      <c r="A74" s="2"/>
      <c r="B74" s="321">
        <v>6</v>
      </c>
      <c r="C74" s="395" t="s">
        <v>71</v>
      </c>
      <c r="D74" s="396"/>
      <c r="E74" s="374">
        <f>ОН060</f>
        <v>0</v>
      </c>
      <c r="F74" s="375"/>
    </row>
    <row r="75" spans="2:6" ht="12.75">
      <c r="B75" s="320">
        <v>7</v>
      </c>
      <c r="C75" s="387" t="s">
        <v>75</v>
      </c>
      <c r="D75" s="387"/>
      <c r="E75" s="405">
        <f>ОН070</f>
        <v>0</v>
      </c>
      <c r="F75" s="406"/>
    </row>
    <row r="76" spans="2:6" ht="12.75">
      <c r="B76" s="320">
        <v>8</v>
      </c>
      <c r="C76" s="387" t="s">
        <v>76</v>
      </c>
      <c r="D76" s="387"/>
      <c r="E76" s="403">
        <f>ОН130+ОН190</f>
        <v>0</v>
      </c>
      <c r="F76" s="404"/>
    </row>
    <row r="77" spans="2:6" ht="12.75">
      <c r="B77" s="320">
        <v>9</v>
      </c>
      <c r="C77" s="411" t="s">
        <v>204</v>
      </c>
      <c r="D77" s="411"/>
      <c r="E77" s="405">
        <f>ОН200</f>
        <v>0</v>
      </c>
      <c r="F77" s="406"/>
    </row>
    <row r="78" spans="1:6" ht="12.75">
      <c r="A78" s="2"/>
      <c r="B78" s="321">
        <v>10</v>
      </c>
      <c r="C78" s="395" t="s">
        <v>206</v>
      </c>
      <c r="D78" s="396"/>
      <c r="E78" s="390">
        <f>ОН210</f>
        <v>0</v>
      </c>
      <c r="F78" s="391"/>
    </row>
    <row r="79" spans="2:6" ht="12.75">
      <c r="B79" s="116">
        <v>11</v>
      </c>
      <c r="C79" s="402" t="s">
        <v>205</v>
      </c>
      <c r="D79" s="402"/>
      <c r="E79" s="398">
        <f>ОН240</f>
        <v>0</v>
      </c>
      <c r="F79" s="399"/>
    </row>
    <row r="80" spans="2:6" s="2" customFormat="1" ht="12.75">
      <c r="B80" s="188"/>
      <c r="C80" s="189"/>
      <c r="D80" s="189"/>
      <c r="E80" s="190"/>
      <c r="F80" s="190"/>
    </row>
    <row r="81" spans="2:6" s="2" customFormat="1" ht="12.75">
      <c r="B81" s="188"/>
      <c r="C81" s="189"/>
      <c r="D81" s="189"/>
      <c r="E81" s="190"/>
      <c r="F81" s="190"/>
    </row>
    <row r="82" spans="2:6" s="2" customFormat="1" ht="12.75">
      <c r="B82" s="188"/>
      <c r="C82" s="7" t="s">
        <v>209</v>
      </c>
      <c r="D82" s="189"/>
      <c r="E82" s="190"/>
      <c r="F82" s="190"/>
    </row>
    <row r="83" spans="2:6" s="2" customFormat="1" ht="27" customHeight="1">
      <c r="B83" s="324"/>
      <c r="C83" s="326" t="s">
        <v>12</v>
      </c>
      <c r="D83" s="325"/>
      <c r="E83" s="407" t="s">
        <v>207</v>
      </c>
      <c r="F83" s="408"/>
    </row>
    <row r="84" spans="2:7" ht="12.75">
      <c r="B84" s="321" t="s">
        <v>210</v>
      </c>
      <c r="C84" s="395" t="s">
        <v>214</v>
      </c>
      <c r="D84" s="396"/>
      <c r="E84" s="400" t="e">
        <f>E75/E70</f>
        <v>#DIV/0!</v>
      </c>
      <c r="F84" s="401"/>
      <c r="G84" s="2"/>
    </row>
    <row r="85" spans="2:7" ht="12.75">
      <c r="B85" s="321" t="s">
        <v>211</v>
      </c>
      <c r="C85" s="395" t="s">
        <v>215</v>
      </c>
      <c r="D85" s="396"/>
      <c r="E85" s="400" t="e">
        <f>E77/E70</f>
        <v>#DIV/0!</v>
      </c>
      <c r="F85" s="401"/>
      <c r="G85" s="2"/>
    </row>
    <row r="86" spans="2:7" ht="12.75">
      <c r="B86" s="321" t="s">
        <v>212</v>
      </c>
      <c r="C86" s="395" t="s">
        <v>93</v>
      </c>
      <c r="D86" s="396"/>
      <c r="E86" s="400">
        <f>E77/AVERAGE(Н590+Н640+Н650+К590+К640+К650)</f>
        <v>0</v>
      </c>
      <c r="F86" s="401"/>
      <c r="G86" s="2"/>
    </row>
    <row r="87" s="2" customFormat="1" ht="49.5" customHeight="1">
      <c r="B87" s="6"/>
    </row>
    <row r="88" spans="1:9" ht="12.75" customHeight="1">
      <c r="A88" s="2"/>
      <c r="B88" s="2"/>
      <c r="C88" s="191" t="s">
        <v>26</v>
      </c>
      <c r="D88" s="412" t="str">
        <f>CONCATENATE(Баланс!B1," на ",TEXT(Баланс!D1,"ДД МММ ГГГГ"),"г.")</f>
        <v>Баланс ООО "Беллесобработка" на 01 июн 2005г.</v>
      </c>
      <c r="E88" s="412"/>
      <c r="F88" s="412"/>
      <c r="G88" s="412"/>
      <c r="H88" s="412"/>
      <c r="I88" s="412"/>
    </row>
    <row r="89" spans="2:9" ht="24.75" customHeight="1">
      <c r="B89" s="364" t="s">
        <v>33</v>
      </c>
      <c r="C89" s="364"/>
      <c r="D89" s="364" t="s">
        <v>13</v>
      </c>
      <c r="E89" s="364"/>
      <c r="F89" s="364" t="s">
        <v>14</v>
      </c>
      <c r="G89" s="364"/>
      <c r="H89" s="364" t="s">
        <v>15</v>
      </c>
      <c r="I89" s="364"/>
    </row>
    <row r="90" spans="4:9" ht="3" customHeight="1">
      <c r="D90" s="12"/>
      <c r="E90" s="12"/>
      <c r="F90" s="12"/>
      <c r="G90" s="12"/>
      <c r="H90" s="12"/>
      <c r="I90" s="12"/>
    </row>
    <row r="91" spans="2:9" ht="24">
      <c r="B91" s="34"/>
      <c r="C91" s="40" t="s">
        <v>126</v>
      </c>
      <c r="D91" s="333">
        <f>(Н790)/(Н890)</f>
        <v>0.9825017597615006</v>
      </c>
      <c r="E91" s="332"/>
      <c r="F91" s="333">
        <f>(К790)/(К890)</f>
        <v>0.6519196709553712</v>
      </c>
      <c r="G91" s="332"/>
      <c r="H91" s="333">
        <f aca="true" t="shared" si="15" ref="H91:H99">F91-D91</f>
        <v>-0.3305820888061294</v>
      </c>
      <c r="I91" s="334"/>
    </row>
    <row r="92" spans="2:9" ht="35.25">
      <c r="B92" s="34"/>
      <c r="C92" s="40" t="s">
        <v>127</v>
      </c>
      <c r="D92" s="330">
        <f>(Н790)/(Н590+Н690)</f>
        <v>56.148603880738285</v>
      </c>
      <c r="E92" s="331"/>
      <c r="F92" s="330">
        <f>(К790)/(К590+К690)</f>
        <v>1.8729000651794538</v>
      </c>
      <c r="G92" s="332"/>
      <c r="H92" s="333">
        <f t="shared" si="15"/>
        <v>-54.275703815558835</v>
      </c>
      <c r="I92" s="334"/>
    </row>
    <row r="93" spans="2:9" ht="23.25">
      <c r="B93" s="34"/>
      <c r="C93" s="40" t="s">
        <v>87</v>
      </c>
      <c r="D93" s="330">
        <f>Н720/(Н590+Н610+Н640-Н650+Н660+Н720)</f>
        <v>0</v>
      </c>
      <c r="E93" s="335"/>
      <c r="F93" s="330">
        <f>К720/(К590+К610+К640-К650+К660+К720)</f>
        <v>0</v>
      </c>
      <c r="G93" s="336"/>
      <c r="H93" s="333">
        <f t="shared" si="15"/>
        <v>0</v>
      </c>
      <c r="I93" s="334"/>
    </row>
    <row r="94" spans="2:9" ht="23.25">
      <c r="B94" s="52"/>
      <c r="C94" s="40" t="s">
        <v>125</v>
      </c>
      <c r="D94" s="333">
        <f>(Н260+Н270)/(Н790-Н720)</f>
        <v>0.005133089462416345</v>
      </c>
      <c r="E94" s="332"/>
      <c r="F94" s="333">
        <f>(К260+К270)/(К790-К720)</f>
        <v>0.00017961987943015592</v>
      </c>
      <c r="G94" s="332"/>
      <c r="H94" s="333">
        <f>F94-D94</f>
        <v>-0.004953469582986189</v>
      </c>
      <c r="I94" s="337"/>
    </row>
    <row r="95" spans="2:9" ht="24.75" thickBot="1">
      <c r="B95" s="52"/>
      <c r="C95" s="170" t="s">
        <v>140</v>
      </c>
      <c r="D95" s="338">
        <f>(Н590+Н610+Н620+Н630+Н640+Н650+Н660)/Н890</f>
        <v>0.01749824023849944</v>
      </c>
      <c r="E95" s="339"/>
      <c r="F95" s="338">
        <f>(К590+К610+К620+К630+К640+К650+К660)/К890</f>
        <v>0.3480803290446289</v>
      </c>
      <c r="G95" s="340"/>
      <c r="H95" s="341">
        <f t="shared" si="15"/>
        <v>0.33058208880612944</v>
      </c>
      <c r="I95" s="337"/>
    </row>
    <row r="96" spans="2:9" ht="24.75" thickTop="1">
      <c r="B96" s="92"/>
      <c r="C96" s="171" t="s">
        <v>128</v>
      </c>
      <c r="D96" s="342">
        <f>Н290-(Н790-Н720)</f>
        <v>-65956</v>
      </c>
      <c r="E96" s="343"/>
      <c r="F96" s="342">
        <f>К290-(К790-К720)</f>
        <v>-20508</v>
      </c>
      <c r="G96" s="344"/>
      <c r="H96" s="342">
        <f t="shared" si="15"/>
        <v>45448</v>
      </c>
      <c r="I96" s="345"/>
    </row>
    <row r="97" spans="2:9" ht="24">
      <c r="B97" s="34"/>
      <c r="C97" s="40" t="s">
        <v>142</v>
      </c>
      <c r="D97" s="346">
        <f>Н590+Н690+Н720-Н190</f>
        <v>-65956</v>
      </c>
      <c r="E97" s="335"/>
      <c r="F97" s="346">
        <f>К590+К690+К720-К190</f>
        <v>-20508</v>
      </c>
      <c r="G97" s="336"/>
      <c r="H97" s="346">
        <f t="shared" si="15"/>
        <v>45448</v>
      </c>
      <c r="I97" s="334"/>
    </row>
    <row r="98" spans="2:9" ht="23.25">
      <c r="B98" s="34"/>
      <c r="C98" s="40" t="s">
        <v>129</v>
      </c>
      <c r="D98" s="347">
        <f>(Н290-(Н790-Н720))/Н290</f>
        <v>-1.2518695668678586</v>
      </c>
      <c r="E98" s="348"/>
      <c r="F98" s="347">
        <f>(К290-(К790-К720))/К290</f>
        <v>-0.29908559261473844</v>
      </c>
      <c r="G98" s="349"/>
      <c r="H98" s="347">
        <f t="shared" si="15"/>
        <v>0.9527839742531201</v>
      </c>
      <c r="I98" s="350"/>
    </row>
    <row r="99" spans="2:9" ht="35.25">
      <c r="B99" s="34"/>
      <c r="C99" s="40" t="s">
        <v>130</v>
      </c>
      <c r="D99" s="330">
        <f>(Н290-(Н790-Н720))/Н890</f>
        <v>-0.5461968448511448</v>
      </c>
      <c r="E99" s="331"/>
      <c r="F99" s="330">
        <f>(К290-(К790-К720))/К890</f>
        <v>-0.1500900188820094</v>
      </c>
      <c r="G99" s="332"/>
      <c r="H99" s="333">
        <f t="shared" si="15"/>
        <v>0.39610682596913543</v>
      </c>
      <c r="I99" s="334"/>
    </row>
    <row r="100" spans="2:9" ht="15.75" customHeight="1">
      <c r="B100" s="2"/>
      <c r="C100" s="228"/>
      <c r="D100" s="229"/>
      <c r="E100" s="230"/>
      <c r="F100" s="10"/>
      <c r="I100" s="35"/>
    </row>
    <row r="101" spans="2:9" ht="26.25" customHeight="1" hidden="1">
      <c r="B101" s="367"/>
      <c r="C101" s="367"/>
      <c r="D101" s="368"/>
      <c r="E101" s="368"/>
      <c r="F101" s="364" t="s">
        <v>14</v>
      </c>
      <c r="G101" s="364"/>
      <c r="H101" s="364" t="s">
        <v>15</v>
      </c>
      <c r="I101" s="392"/>
    </row>
    <row r="102" spans="2:9" s="2" customFormat="1" ht="3" customHeight="1" hidden="1">
      <c r="B102" s="91"/>
      <c r="C102" s="91"/>
      <c r="D102" s="227"/>
      <c r="E102" s="227"/>
      <c r="F102" s="91"/>
      <c r="G102" s="91"/>
      <c r="H102" s="91"/>
      <c r="I102" s="91"/>
    </row>
    <row r="103" spans="2:9" s="2" customFormat="1" ht="1.5" customHeight="1" hidden="1">
      <c r="B103" s="91"/>
      <c r="C103" s="91"/>
      <c r="D103" s="227"/>
      <c r="E103" s="227"/>
      <c r="F103" s="91"/>
      <c r="G103" s="91"/>
      <c r="H103" s="91"/>
      <c r="I103" s="91"/>
    </row>
    <row r="104" spans="2:7" ht="4.5" customHeight="1" hidden="1">
      <c r="B104" s="2"/>
      <c r="C104" s="228"/>
      <c r="D104" s="230"/>
      <c r="E104" s="230"/>
      <c r="F104" s="95"/>
      <c r="G104" s="29"/>
    </row>
    <row r="105" spans="2:9" ht="12.75" hidden="1">
      <c r="B105" s="18"/>
      <c r="C105" s="231"/>
      <c r="D105" s="232"/>
      <c r="E105" s="233"/>
      <c r="F105" s="123">
        <f>(E76/(SUM(Баланс!D33:E33)/2))*(12/IF(MONTH(Баланс!$D$1)=1,12,MONTH(Баланс!$D$1)-1))</f>
        <v>0</v>
      </c>
      <c r="G105" s="96"/>
      <c r="H105" s="37"/>
      <c r="I105" s="38"/>
    </row>
    <row r="106" spans="2:9" ht="12.75" hidden="1">
      <c r="B106" s="18"/>
      <c r="C106" s="231"/>
      <c r="D106" s="232"/>
      <c r="E106" s="233"/>
      <c r="F106" s="123">
        <f>E76/((SUM(Баланс!D48:E48)/2))*(12/IF(MONTH(Баланс!$D$1)=1,12,MONTH(Баланс!$D$1)-1))</f>
        <v>0</v>
      </c>
      <c r="G106" s="96"/>
      <c r="H106" s="37"/>
      <c r="I106" s="38"/>
    </row>
    <row r="107" spans="2:9" ht="12.75" hidden="1">
      <c r="B107" s="18"/>
      <c r="C107" s="231"/>
      <c r="D107" s="232"/>
      <c r="E107" s="233"/>
      <c r="F107" s="123" t="e">
        <f>#REF!/E69</f>
        <v>#REF!</v>
      </c>
      <c r="G107" s="96"/>
      <c r="H107" s="37"/>
      <c r="I107" s="38"/>
    </row>
    <row r="108" spans="2:9" ht="12.75" hidden="1">
      <c r="B108" s="18"/>
      <c r="C108" s="231"/>
      <c r="D108" s="232"/>
      <c r="E108" s="233"/>
      <c r="F108" s="123" t="e">
        <f>E75/E69</f>
        <v>#DIV/0!</v>
      </c>
      <c r="G108" s="96"/>
      <c r="H108" s="37"/>
      <c r="I108" s="38"/>
    </row>
    <row r="109" spans="2:9" ht="12.75" hidden="1">
      <c r="B109" s="5"/>
      <c r="C109" s="231"/>
      <c r="D109" s="234"/>
      <c r="E109" s="233"/>
      <c r="F109" s="123">
        <f>E75/((Баланс!D48+Баланс!D57+Баланс!E48+Баланс!E57)/2)</f>
        <v>0</v>
      </c>
      <c r="G109" s="96"/>
      <c r="H109" s="37"/>
      <c r="I109" s="38"/>
    </row>
    <row r="110" spans="2:9" ht="12.75">
      <c r="B110" s="2"/>
      <c r="C110" s="228"/>
      <c r="D110" s="235"/>
      <c r="E110" s="230"/>
      <c r="F110" s="10"/>
      <c r="I110" s="35" t="s">
        <v>26</v>
      </c>
    </row>
    <row r="111" spans="2:9" ht="38.25" customHeight="1">
      <c r="B111" s="22"/>
      <c r="C111" s="23" t="s">
        <v>31</v>
      </c>
      <c r="D111" s="365" t="s">
        <v>16</v>
      </c>
      <c r="E111" s="365"/>
      <c r="F111" s="365"/>
      <c r="G111" s="24" t="s">
        <v>11</v>
      </c>
      <c r="H111" s="25"/>
      <c r="I111" s="26"/>
    </row>
    <row r="112" spans="2:9" s="5" customFormat="1" ht="1.5" customHeight="1">
      <c r="B112" s="14"/>
      <c r="C112" s="19"/>
      <c r="D112" s="19"/>
      <c r="E112" s="19"/>
      <c r="F112" s="20"/>
      <c r="G112" s="21"/>
      <c r="H112" s="21"/>
      <c r="I112" s="21"/>
    </row>
    <row r="113" spans="2:9" s="5" customFormat="1" ht="16.5" customHeight="1">
      <c r="B113" s="117"/>
      <c r="C113" s="409" t="s">
        <v>89</v>
      </c>
      <c r="D113" s="409"/>
      <c r="E113" s="409"/>
      <c r="F113" s="409"/>
      <c r="G113" s="409"/>
      <c r="H113" s="409"/>
      <c r="I113" s="410"/>
    </row>
    <row r="114" spans="2:9" ht="12.75">
      <c r="B114" s="111"/>
      <c r="C114" s="119" t="str">
        <f>Баланс!B14</f>
        <v>II. ОБОРОТНЫЕ АКТИВЫ</v>
      </c>
      <c r="D114" s="397">
        <f>(Н290+К290)/2</f>
        <v>60627.5</v>
      </c>
      <c r="E114" s="397"/>
      <c r="F114" s="397"/>
      <c r="G114" s="120"/>
      <c r="H114" s="121" t="e">
        <f>D114*(IF(MONTH(Баланс!$D$1)=1,12,MONTH(Баланс!$D$1)-1)*30/E69)</f>
        <v>#DIV/0!</v>
      </c>
      <c r="I114" s="122"/>
    </row>
    <row r="115" spans="2:9" ht="12.75">
      <c r="B115" s="39"/>
      <c r="C115" s="42" t="str">
        <f>Баланс!B16</f>
        <v>Сырье, материалы и другие аналогичные ценности (10, 14, 15, 16)</v>
      </c>
      <c r="D115" s="369">
        <f>(Н211+К211)/2</f>
        <v>0</v>
      </c>
      <c r="E115" s="369"/>
      <c r="F115" s="369"/>
      <c r="G115" s="43"/>
      <c r="H115" s="118" t="e">
        <f>D115*(IF(MONTH(Баланс!$D$1)=1,12,MONTH(Баланс!$D$1)-1)*30/$E$69)</f>
        <v>#DIV/0!</v>
      </c>
      <c r="I115" s="106"/>
    </row>
    <row r="116" spans="2:9" ht="12.75">
      <c r="B116" s="39"/>
      <c r="C116" s="42" t="str">
        <f>Баланс!B20</f>
        <v>Налоги по приобретенным ценностям (18, 76)</v>
      </c>
      <c r="D116" s="369">
        <f>(Н220+К220)/2</f>
        <v>11619.5</v>
      </c>
      <c r="E116" s="369"/>
      <c r="F116" s="369"/>
      <c r="G116" s="43"/>
      <c r="H116" s="118" t="e">
        <f>D116*(IF(MONTH(Баланс!$D$1)=1,12,MONTH(Баланс!$D$1)-1)*30/$E$69)</f>
        <v>#DIV/0!</v>
      </c>
      <c r="I116" s="106"/>
    </row>
    <row r="117" spans="2:9" ht="12.75">
      <c r="B117" s="39"/>
      <c r="C117" s="42" t="str">
        <f>Баланс!B21</f>
        <v>Готовая продукция и товары (40, 41, 43)</v>
      </c>
      <c r="D117" s="369">
        <f>(Н230+К230)/2</f>
        <v>0</v>
      </c>
      <c r="E117" s="369"/>
      <c r="F117" s="369"/>
      <c r="G117" s="43"/>
      <c r="H117" s="118" t="e">
        <f>D117*(IF(MONTH(Баланс!$D$1)=1,12,MONTH(Баланс!$D$1)-1)*30/$E$69)</f>
        <v>#DIV/0!</v>
      </c>
      <c r="I117" s="106"/>
    </row>
    <row r="118" spans="2:9" ht="25.5">
      <c r="B118" s="39"/>
      <c r="C118" s="42" t="str">
        <f>Баланс!B22</f>
        <v>Товары отгруженные, выполненные работы, оказанные услуги (45, 46)</v>
      </c>
      <c r="D118" s="369">
        <f>(Н240+К240)/2</f>
        <v>0</v>
      </c>
      <c r="E118" s="369"/>
      <c r="F118" s="369"/>
      <c r="G118" s="43"/>
      <c r="H118" s="118" t="e">
        <f>D118*(IF(MONTH(Баланс!$D$1)=1,12,MONTH(Баланс!$D$1)-1)*30/$E$69)</f>
        <v>#DIV/0!</v>
      </c>
      <c r="I118" s="106"/>
    </row>
    <row r="119" spans="2:9" ht="12.75">
      <c r="B119" s="34"/>
      <c r="C119" s="17" t="str">
        <f>Баланс!B23</f>
        <v>Дебиторская задолженность</v>
      </c>
      <c r="D119" s="366">
        <f>(Н250+К250)/2</f>
        <v>48695.5</v>
      </c>
      <c r="E119" s="366"/>
      <c r="F119" s="366"/>
      <c r="G119" s="13"/>
      <c r="H119" s="107" t="e">
        <f>D119*(IF(MONTH(Баланс!$D$1)=1,12,MONTH(Баланс!$D$1)-1)*30/$E$69)</f>
        <v>#DIV/0!</v>
      </c>
      <c r="I119" s="41"/>
    </row>
    <row r="120" spans="2:9" ht="12.75">
      <c r="B120" s="34"/>
      <c r="C120" s="17" t="s">
        <v>3</v>
      </c>
      <c r="D120" s="366">
        <f>D114-SUM(D115:F119)</f>
        <v>312.5</v>
      </c>
      <c r="E120" s="366"/>
      <c r="F120" s="366"/>
      <c r="G120" s="13"/>
      <c r="H120" s="107" t="e">
        <f>H114-SUM(H115:H119)</f>
        <v>#DIV/0!</v>
      </c>
      <c r="I120" s="41"/>
    </row>
    <row r="121" spans="2:9" ht="12.75">
      <c r="B121" s="111"/>
      <c r="C121" s="119" t="str">
        <f>Баланс!B59</f>
        <v>V. РАСЧЕТЫ</v>
      </c>
      <c r="D121" s="397">
        <f>(Н790+К790)/2</f>
        <v>103859.5</v>
      </c>
      <c r="E121" s="397"/>
      <c r="F121" s="397"/>
      <c r="G121" s="120"/>
      <c r="H121" s="121" t="e">
        <f>(D121*(IF(MONTH(Баланс!$D$1)=1,12,MONTH(Баланс!$D$1)-1)*30/$F$71))</f>
        <v>#DIV/0!</v>
      </c>
      <c r="I121" s="122"/>
    </row>
    <row r="122" spans="2:9" ht="12.75">
      <c r="B122" s="39"/>
      <c r="C122" s="42" t="str">
        <f>Баланс!B63</f>
        <v>Расчеты с поставщикамии подрядчиками (60, 62)</v>
      </c>
      <c r="D122" s="369">
        <f>(Н731+К731)/2</f>
        <v>10527.5</v>
      </c>
      <c r="E122" s="369"/>
      <c r="F122" s="369"/>
      <c r="G122" s="43"/>
      <c r="H122" s="118" t="e">
        <f>D122*(IF(MONTH(Баланс!$D$1)=1,12,MONTH(Баланс!$D$1)-1)*30/$F$71)</f>
        <v>#DIV/0!</v>
      </c>
      <c r="I122" s="106"/>
    </row>
    <row r="123" spans="2:9" ht="12.75">
      <c r="B123" s="39"/>
      <c r="C123" s="42" t="str">
        <f>Баланс!B60</f>
        <v>Краткосрочные кредиты и займы (66)</v>
      </c>
      <c r="D123" s="369">
        <f>(Н710+К710)/2</f>
        <v>0</v>
      </c>
      <c r="E123" s="369"/>
      <c r="F123" s="369"/>
      <c r="G123" s="43"/>
      <c r="H123" s="118" t="e">
        <f>D123*(IF(MONTH(Баланс!$D$1)=1,12,MONTH(Баланс!$D$1)-1)*30/$F$71)</f>
        <v>#DIV/0!</v>
      </c>
      <c r="I123" s="106"/>
    </row>
    <row r="124" spans="2:9" ht="12.75">
      <c r="B124" s="39"/>
      <c r="C124" s="42" t="str">
        <f>Баланс!B61</f>
        <v>Долгосрочные кредиты и займы (67)</v>
      </c>
      <c r="D124" s="369">
        <f>(Н720+К720)/2</f>
        <v>0</v>
      </c>
      <c r="E124" s="369"/>
      <c r="F124" s="369"/>
      <c r="G124" s="43"/>
      <c r="H124" s="118" t="e">
        <f>D124*(IF(MONTH(Баланс!$D$1)=1,12,MONTH(Баланс!$D$1)-1)*30/$F$71)</f>
        <v>#DIV/0!</v>
      </c>
      <c r="I124" s="106"/>
    </row>
    <row r="125" spans="2:9" ht="12.75">
      <c r="B125" s="39"/>
      <c r="C125" s="42" t="s">
        <v>88</v>
      </c>
      <c r="D125" s="369">
        <f>D121-SUM(D122:F124)</f>
        <v>93332</v>
      </c>
      <c r="E125" s="369"/>
      <c r="F125" s="369"/>
      <c r="G125" s="43"/>
      <c r="H125" s="118" t="e">
        <f>D125*(IF(MONTH(Баланс!$D$1)=1,12,MONTH(Баланс!$D$1)-1)*30/$F$71)</f>
        <v>#DIV/0!</v>
      </c>
      <c r="I125" s="106"/>
    </row>
    <row r="126" spans="2:9" s="2" customFormat="1" ht="12.75">
      <c r="B126" s="5"/>
      <c r="C126" s="100"/>
      <c r="D126" s="101"/>
      <c r="E126" s="101"/>
      <c r="F126" s="101"/>
      <c r="G126" s="5"/>
      <c r="H126" s="102"/>
      <c r="I126" s="5"/>
    </row>
    <row r="127" spans="3:9" s="104" customFormat="1" ht="12.75">
      <c r="C127" s="394" t="s">
        <v>95</v>
      </c>
      <c r="D127" s="394"/>
      <c r="E127" s="394"/>
      <c r="F127" s="394"/>
      <c r="G127" s="394"/>
      <c r="H127" s="394"/>
      <c r="I127" s="394"/>
    </row>
    <row r="128" spans="3:9" s="104" customFormat="1" ht="12.75">
      <c r="C128" s="394" t="s">
        <v>96</v>
      </c>
      <c r="D128" s="394"/>
      <c r="E128" s="394"/>
      <c r="F128" s="394"/>
      <c r="G128" s="394"/>
      <c r="H128" s="394"/>
      <c r="I128" s="394"/>
    </row>
    <row r="129" spans="3:9" s="104" customFormat="1" ht="9.75" customHeight="1">
      <c r="C129" s="394" t="s">
        <v>97</v>
      </c>
      <c r="D129" s="394"/>
      <c r="E129" s="394"/>
      <c r="F129" s="394"/>
      <c r="G129" s="394"/>
      <c r="H129" s="394"/>
      <c r="I129" s="394"/>
    </row>
    <row r="130" spans="3:9" s="104" customFormat="1" ht="12.75">
      <c r="C130" s="394" t="s">
        <v>98</v>
      </c>
      <c r="D130" s="394"/>
      <c r="E130" s="394"/>
      <c r="F130" s="394"/>
      <c r="G130" s="394"/>
      <c r="H130" s="394"/>
      <c r="I130" s="394"/>
    </row>
    <row r="131" spans="3:9" ht="12.75">
      <c r="C131" s="105" t="str">
        <f>C1</f>
        <v>Баланс ООО "Беллесобработка" на 01 июн 2005г.</v>
      </c>
      <c r="D131" s="10"/>
      <c r="E131" s="10"/>
      <c r="F131" s="10"/>
      <c r="I131" s="35" t="s">
        <v>27</v>
      </c>
    </row>
    <row r="132" spans="3:9" ht="12.75">
      <c r="C132" s="356" t="str">
        <f>Баланс!B3</f>
        <v>Торговля и общественное питание</v>
      </c>
      <c r="D132" s="356"/>
      <c r="E132" s="356"/>
      <c r="F132" s="356"/>
      <c r="G132" s="356"/>
      <c r="H132" s="356"/>
      <c r="I132" s="356"/>
    </row>
    <row r="133" spans="2:9" s="29" customFormat="1" ht="23.25" customHeight="1">
      <c r="B133" s="93"/>
      <c r="C133" s="36" t="s">
        <v>32</v>
      </c>
      <c r="D133" s="355" t="s">
        <v>20</v>
      </c>
      <c r="E133" s="355"/>
      <c r="F133" s="393" t="s">
        <v>13</v>
      </c>
      <c r="G133" s="393"/>
      <c r="H133" s="393" t="s">
        <v>14</v>
      </c>
      <c r="I133" s="393"/>
    </row>
    <row r="134" spans="2:7" s="32" customFormat="1" ht="3" customHeight="1">
      <c r="B134" s="30"/>
      <c r="C134" s="31"/>
      <c r="D134" s="31"/>
      <c r="E134" s="30"/>
      <c r="F134" s="30"/>
      <c r="G134" s="30"/>
    </row>
    <row r="135" spans="2:9" ht="23.25">
      <c r="B135" s="240">
        <v>1</v>
      </c>
      <c r="C135" s="94" t="s">
        <v>92</v>
      </c>
      <c r="D135" s="357">
        <f>INDEX(коэффициенты!B2:C23,MATCH(C132,коэффициенты!A2:A23,0),1)</f>
        <v>1</v>
      </c>
      <c r="E135" s="357"/>
      <c r="F135" s="362">
        <f>Н290/(Н790-Н720)</f>
        <v>0.444075453886482</v>
      </c>
      <c r="G135" s="362"/>
      <c r="H135" s="362">
        <f>К290/(К790-К720)</f>
        <v>0.7697722195403977</v>
      </c>
      <c r="I135" s="362"/>
    </row>
    <row r="136" spans="2:9" ht="23.25">
      <c r="B136" s="240">
        <v>2</v>
      </c>
      <c r="C136" s="33" t="s">
        <v>141</v>
      </c>
      <c r="D136" s="357">
        <f>INDEX(коэффициенты!B2:C23,MATCH(C132,коэффициенты!A2:A23,0),2)</f>
        <v>0.1</v>
      </c>
      <c r="E136" s="357"/>
      <c r="F136" s="354">
        <f>(Н590+Н690+Н720-Н190)/Н290</f>
        <v>-1.2518695668678586</v>
      </c>
      <c r="G136" s="354"/>
      <c r="H136" s="354">
        <f>(К590+К690+К720-К190)/К290</f>
        <v>-0.29908559261473844</v>
      </c>
      <c r="I136" s="354"/>
    </row>
    <row r="137" spans="2:9" ht="23.25">
      <c r="B137" s="240"/>
      <c r="C137" s="33" t="s">
        <v>94</v>
      </c>
      <c r="D137" s="363">
        <v>0.85</v>
      </c>
      <c r="E137" s="363"/>
      <c r="F137" s="354">
        <f>(Н790/Н890)</f>
        <v>0.9825017597615006</v>
      </c>
      <c r="G137" s="354"/>
      <c r="H137" s="354">
        <f>(К790/К890)</f>
        <v>0.6519196709553712</v>
      </c>
      <c r="I137" s="354"/>
    </row>
    <row r="138" spans="2:9" ht="23.25">
      <c r="B138" s="240">
        <v>3</v>
      </c>
      <c r="C138" s="33" t="s">
        <v>36</v>
      </c>
      <c r="D138" s="361">
        <v>1</v>
      </c>
      <c r="E138" s="361"/>
      <c r="F138" s="358">
        <f>IF(OR(H135&lt;К1норм,H136&lt;К2норм),(H135+(6/IF(MONTH(Баланс!$D$1)=1,12,MONTH(Баланс!$D$1)-1))*(H135-F135))/К1норм,"не рассчитывается")</f>
        <v>1.1606083383250965</v>
      </c>
      <c r="G138" s="359"/>
      <c r="H138" s="359"/>
      <c r="I138" s="360"/>
    </row>
    <row r="139" spans="2:9" ht="23.25">
      <c r="B139" s="240">
        <v>4</v>
      </c>
      <c r="C139" s="33" t="s">
        <v>37</v>
      </c>
      <c r="D139" s="361">
        <v>1</v>
      </c>
      <c r="E139" s="361"/>
      <c r="F139" s="358" t="str">
        <f>IF(AND(H135&gt;=К1норм,H136&gt;=К2норм),(H135+(3/IF(MONTH(Баланс!$D$1)=1,12,MONTH(Баланс!$D$1)-1))*(H135-F135))/К1норм,"не рассчитывается")</f>
        <v>не рассчитывается</v>
      </c>
      <c r="G139" s="359"/>
      <c r="H139" s="359"/>
      <c r="I139" s="360"/>
    </row>
    <row r="140" ht="3.75" customHeight="1"/>
    <row r="141" ht="12.75">
      <c r="C141" s="103" t="s">
        <v>38</v>
      </c>
    </row>
    <row r="142" ht="12.75">
      <c r="C142" s="103" t="s">
        <v>39</v>
      </c>
    </row>
    <row r="144" ht="12.75">
      <c r="C144" s="9" t="s">
        <v>143</v>
      </c>
    </row>
    <row r="145" spans="2:9" s="29" customFormat="1" ht="40.5" customHeight="1">
      <c r="B145" s="93"/>
      <c r="C145" s="36" t="s">
        <v>144</v>
      </c>
      <c r="D145" s="355" t="s">
        <v>145</v>
      </c>
      <c r="E145" s="355"/>
      <c r="F145" s="355" t="s">
        <v>146</v>
      </c>
      <c r="G145" s="355"/>
      <c r="H145" s="355" t="s">
        <v>147</v>
      </c>
      <c r="I145" s="355"/>
    </row>
    <row r="146" spans="2:7" s="32" customFormat="1" ht="3" customHeight="1">
      <c r="B146" s="30"/>
      <c r="C146" s="31"/>
      <c r="D146" s="31"/>
      <c r="E146" s="30"/>
      <c r="F146" s="30"/>
      <c r="G146" s="30"/>
    </row>
    <row r="147" spans="2:9" ht="12.75">
      <c r="B147" s="240">
        <v>1</v>
      </c>
      <c r="C147" s="33" t="s">
        <v>13</v>
      </c>
      <c r="D147" s="354">
        <f>Н510</f>
        <v>4200</v>
      </c>
      <c r="E147" s="354"/>
      <c r="F147" s="354">
        <f>(Н190+Н290-Н252-Н620)-(Н560+Н610+Н630+Н660+Н790)</f>
        <v>13</v>
      </c>
      <c r="G147" s="354"/>
      <c r="H147" s="354"/>
      <c r="I147" s="354"/>
    </row>
    <row r="148" spans="2:9" ht="12.75">
      <c r="B148" s="240">
        <v>2</v>
      </c>
      <c r="C148" s="33" t="s">
        <v>14</v>
      </c>
      <c r="D148" s="354">
        <f>К510</f>
        <v>60000</v>
      </c>
      <c r="E148" s="354"/>
      <c r="F148" s="354">
        <f>(К190+К290-К252-К620)-(К560+К610+К630+К660+К790)</f>
        <v>57895</v>
      </c>
      <c r="G148" s="354"/>
      <c r="H148" s="354"/>
      <c r="I148" s="354"/>
    </row>
  </sheetData>
  <sheetProtection sheet="1" objects="1" scenarios="1"/>
  <mergeCells count="86">
    <mergeCell ref="E68:F68"/>
    <mergeCell ref="E83:F83"/>
    <mergeCell ref="C113:I113"/>
    <mergeCell ref="D89:E89"/>
    <mergeCell ref="C77:D77"/>
    <mergeCell ref="E77:F77"/>
    <mergeCell ref="C85:D85"/>
    <mergeCell ref="D88:I88"/>
    <mergeCell ref="E85:F85"/>
    <mergeCell ref="C73:D73"/>
    <mergeCell ref="C78:D78"/>
    <mergeCell ref="D114:F114"/>
    <mergeCell ref="E76:F76"/>
    <mergeCell ref="E75:F75"/>
    <mergeCell ref="C74:D74"/>
    <mergeCell ref="D122:F122"/>
    <mergeCell ref="D121:F121"/>
    <mergeCell ref="E79:F79"/>
    <mergeCell ref="E84:F84"/>
    <mergeCell ref="C79:D79"/>
    <mergeCell ref="C86:D86"/>
    <mergeCell ref="E86:F86"/>
    <mergeCell ref="C84:D84"/>
    <mergeCell ref="C75:D75"/>
    <mergeCell ref="D123:F123"/>
    <mergeCell ref="D124:F124"/>
    <mergeCell ref="H133:I133"/>
    <mergeCell ref="C127:I127"/>
    <mergeCell ref="C128:I128"/>
    <mergeCell ref="D133:E133"/>
    <mergeCell ref="F133:G133"/>
    <mergeCell ref="C130:I130"/>
    <mergeCell ref="C129:I129"/>
    <mergeCell ref="D125:F125"/>
    <mergeCell ref="H2:I2"/>
    <mergeCell ref="D2:E2"/>
    <mergeCell ref="D118:F118"/>
    <mergeCell ref="C76:D76"/>
    <mergeCell ref="C72:D72"/>
    <mergeCell ref="E78:F78"/>
    <mergeCell ref="B89:C89"/>
    <mergeCell ref="D116:F116"/>
    <mergeCell ref="D115:F115"/>
    <mergeCell ref="H101:I101"/>
    <mergeCell ref="C2:C3"/>
    <mergeCell ref="C69:D69"/>
    <mergeCell ref="E73:F73"/>
    <mergeCell ref="E74:F74"/>
    <mergeCell ref="F2:G2"/>
    <mergeCell ref="E67:F67"/>
    <mergeCell ref="E69:F69"/>
    <mergeCell ref="E70:F70"/>
    <mergeCell ref="E72:F72"/>
    <mergeCell ref="C70:D70"/>
    <mergeCell ref="H89:I89"/>
    <mergeCell ref="D111:F111"/>
    <mergeCell ref="D120:F120"/>
    <mergeCell ref="B101:C101"/>
    <mergeCell ref="D101:E101"/>
    <mergeCell ref="F101:G101"/>
    <mergeCell ref="D119:F119"/>
    <mergeCell ref="D117:F117"/>
    <mergeCell ref="F89:G89"/>
    <mergeCell ref="D135:E135"/>
    <mergeCell ref="F138:I138"/>
    <mergeCell ref="D137:E137"/>
    <mergeCell ref="F137:G137"/>
    <mergeCell ref="H137:I137"/>
    <mergeCell ref="F136:G136"/>
    <mergeCell ref="H135:I135"/>
    <mergeCell ref="D145:E145"/>
    <mergeCell ref="F145:G145"/>
    <mergeCell ref="H145:I145"/>
    <mergeCell ref="C132:I132"/>
    <mergeCell ref="D136:E136"/>
    <mergeCell ref="F139:I139"/>
    <mergeCell ref="D139:E139"/>
    <mergeCell ref="F135:G135"/>
    <mergeCell ref="H136:I136"/>
    <mergeCell ref="D138:E138"/>
    <mergeCell ref="H147:I147"/>
    <mergeCell ref="D148:E148"/>
    <mergeCell ref="F148:G148"/>
    <mergeCell ref="H148:I148"/>
    <mergeCell ref="F147:G147"/>
    <mergeCell ref="D147:E147"/>
  </mergeCells>
  <conditionalFormatting sqref="F136:I136 D148:E148">
    <cfRule type="cellIs" priority="1" dxfId="0" operator="lessThan" stopIfTrue="1">
      <formula>$D$136</formula>
    </cfRule>
  </conditionalFormatting>
  <conditionalFormatting sqref="F135:I135">
    <cfRule type="cellIs" priority="2" dxfId="0" operator="lessThan" stopIfTrue="1">
      <formula>$D$135</formula>
    </cfRule>
  </conditionalFormatting>
  <conditionalFormatting sqref="F137:I137">
    <cfRule type="cellIs" priority="3" dxfId="0" operator="greaterThan" stopIfTrue="1">
      <formula>$D$137</formula>
    </cfRule>
  </conditionalFormatting>
  <conditionalFormatting sqref="D92:F92 D93 F93 D99:F99">
    <cfRule type="cellIs" priority="4" dxfId="1" operator="between" stopIfTrue="1">
      <formula>0.5</formula>
      <formula>0.7</formula>
    </cfRule>
  </conditionalFormatting>
  <conditionalFormatting sqref="D91:F91">
    <cfRule type="cellIs" priority="5" dxfId="0" operator="greaterThan" stopIfTrue="1">
      <formula>0.5</formula>
    </cfRule>
  </conditionalFormatting>
  <conditionalFormatting sqref="D94:F94">
    <cfRule type="cellIs" priority="6" dxfId="0" operator="lessThan" stopIfTrue="1">
      <formula>0.2</formula>
    </cfRule>
  </conditionalFormatting>
  <conditionalFormatting sqref="D95:F95">
    <cfRule type="cellIs" priority="7" dxfId="0" operator="between" stopIfTrue="1">
      <formula>0.3</formula>
      <formula>0.6</formula>
    </cfRule>
  </conditionalFormatting>
  <conditionalFormatting sqref="H91:H99">
    <cfRule type="cellIs" priority="8" dxfId="0" operator="lessThan" stopIfTrue="1">
      <formula>0</formula>
    </cfRule>
  </conditionalFormatting>
  <conditionalFormatting sqref="D147:E147">
    <cfRule type="cellIs" priority="9" dxfId="0" operator="lessThan" stopIfTrue="1">
      <formula>$H$147</formula>
    </cfRule>
  </conditionalFormatting>
  <conditionalFormatting sqref="F147:I147">
    <cfRule type="cellIs" priority="10" dxfId="0" operator="lessThan" stopIfTrue="1">
      <formula>$D$147</formula>
    </cfRule>
  </conditionalFormatting>
  <conditionalFormatting sqref="F148:I148">
    <cfRule type="cellIs" priority="11" dxfId="0" operator="lessThan" stopIfTrue="1">
      <formula>$D$148</formula>
    </cfRule>
  </conditionalFormatting>
  <printOptions horizontalCentered="1"/>
  <pageMargins left="0.7874015748031497" right="0" top="0" bottom="0" header="0" footer="0.1968503937007874"/>
  <pageSetup fitToHeight="2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G19"/>
  <sheetViews>
    <sheetView showGridLines="0" workbookViewId="0" topLeftCell="A1">
      <selection activeCell="D14" sqref="D14"/>
    </sheetView>
  </sheetViews>
  <sheetFormatPr defaultColWidth="9.00390625" defaultRowHeight="12.75"/>
  <cols>
    <col min="1" max="1" width="4.125" style="174" customWidth="1"/>
    <col min="2" max="2" width="22.625" style="174" customWidth="1"/>
    <col min="3" max="4" width="8.75390625" style="175" customWidth="1"/>
    <col min="5" max="5" width="28.125" style="174" customWidth="1"/>
    <col min="6" max="7" width="8.75390625" style="174" customWidth="1"/>
    <col min="8" max="16384" width="9.125" style="174" customWidth="1"/>
  </cols>
  <sheetData>
    <row r="1" spans="2:7" ht="12">
      <c r="B1" s="184" t="s">
        <v>86</v>
      </c>
      <c r="C1" s="213" t="s">
        <v>124</v>
      </c>
      <c r="F1" s="174">
        <f>IF(Баланс!E3="тыс. руб.",1000,IF(Баланс!E3="млн. руб.",1000000,1000000000))</f>
        <v>1000</v>
      </c>
      <c r="G1" s="175">
        <f>IF(C1="тыс. руб.",1000,IF(C1="млн. руб.",1000000,1000000000))/F1</f>
        <v>1000</v>
      </c>
    </row>
    <row r="2" spans="2:3" ht="12">
      <c r="B2" s="184" t="s">
        <v>85</v>
      </c>
      <c r="C2" s="213">
        <v>1</v>
      </c>
    </row>
    <row r="5" ht="12">
      <c r="G5" s="176" t="str">
        <f>C1</f>
        <v>млн. руб.</v>
      </c>
    </row>
    <row r="6" spans="2:7" ht="12">
      <c r="B6" s="177" t="s">
        <v>83</v>
      </c>
      <c r="C6" s="178">
        <f>IF(MONTH(D6)=1,DATE(YEAR(D6-1),MONTH(1),DAY(1)),DATE(YEAR(D6),MONTH(6),DAY(1)))</f>
        <v>38353</v>
      </c>
      <c r="D6" s="178">
        <f>Баланс!D1</f>
        <v>38504</v>
      </c>
      <c r="E6" s="177" t="s">
        <v>84</v>
      </c>
      <c r="F6" s="178">
        <f>C6</f>
        <v>38353</v>
      </c>
      <c r="G6" s="178">
        <f>D6</f>
        <v>38504</v>
      </c>
    </row>
    <row r="7" spans="2:7" ht="6" customHeight="1">
      <c r="B7" s="179"/>
      <c r="C7" s="180"/>
      <c r="D7" s="180"/>
      <c r="E7" s="179"/>
      <c r="F7" s="180"/>
      <c r="G7" s="180"/>
    </row>
    <row r="8" spans="2:7" ht="12">
      <c r="B8" s="413" t="s">
        <v>77</v>
      </c>
      <c r="C8" s="414" t="str">
        <f>IF($C$2=0,TEXT(Н190/$G$1,"# ##0;-# ##0;-"),IF($C$2=1,TEXT(Н190/$G$1,"# ##0,0;-# ##0,0;-"),TEXT(Н190/$G$1,"# ##0,00;-# ##0,00;-")))</f>
        <v>68,1</v>
      </c>
      <c r="D8" s="415" t="str">
        <f>IF($C$2=0,TEXT(К190/$G$1,"# ##0;-# ##0;-"),IF($C$2=1,TEXT(К190/$G$1,"# ##0,0;-# ##0,0;-"),TEXT(К190/$G$1,"# ##0,00;-# ##0,00;-")))</f>
        <v>68,1</v>
      </c>
      <c r="E8" s="236" t="s">
        <v>81</v>
      </c>
      <c r="F8" s="219" t="str">
        <f>IF($C$2=0,TEXT(Н590/$G$1,"# ##0;[Красный]-# ##0;-"),IF($C$2=1,TEXT(Н590/$G$1,"# ##0,0;[Красный]-# ##0;-"),TEXT(Н590/$G$1,"# ##0,00;[Красный]-# ##0;-")))</f>
        <v>2,1</v>
      </c>
      <c r="G8" s="220" t="str">
        <f>IF($C$2=0,TEXT(К590/$G$1,"# ##0;[Красный]-# ##0;-"),IF($C$2=1,TEXT(К590/$G$1,"# ##0,0;[Красный]-# ##0,0;-"),TEXT(К590/$G$1,"# ##0,00;[Красный]-# ##0,00;-")))</f>
        <v>57,9</v>
      </c>
    </row>
    <row r="9" spans="2:7" ht="12">
      <c r="B9" s="413"/>
      <c r="C9" s="414"/>
      <c r="D9" s="415"/>
      <c r="E9" s="236" t="s">
        <v>82</v>
      </c>
      <c r="F9" s="219" t="str">
        <f>IF($C$2=0,TEXT(Н690/$G$1,"# ##0;[Красный]-# ##0;-"),IF($C$2=1,TEXT(Н690/$G$1,"# ##0,0;[Красный]-# ##0,0;-"),TEXT(Н690/$G$1,"# ##0,00;[Красный]-# ##0,00;-")))</f>
        <v>-</v>
      </c>
      <c r="G9" s="220" t="str">
        <f>IF($C$2=0,TEXT(К690/$G$1,"# ##0;[Красный]-# ##0;-"),IF($C$2=1,TEXT(К690/$G$1,"# ##0,0;[Красный]-# ##0,0;-"),TEXT(К690/$G$1,"# ##0,00;[Красный]-# ##0,00;-")))</f>
        <v>-10,3</v>
      </c>
    </row>
    <row r="10" spans="2:7" ht="12">
      <c r="B10" s="181" t="s">
        <v>131</v>
      </c>
      <c r="C10" s="219" t="str">
        <f>IF($C$2=0,TEXT(Н290/$G$1,"# ##0;-# ##0;-"),IF($C$2=1,TEXT(Н290/$G$1,"# ##0,0;-# ##0,0;-"),TEXT(Н290/$G$1,"# ##0,00;--# ##0,00;-")))</f>
        <v>52,7</v>
      </c>
      <c r="D10" s="220" t="str">
        <f>IF($C$2=0,TEXT(К290/$G$1,"# ##0;-# ##0;-"),IF($C$2=1,TEXT(К290/$G$1,"# ##0,0;-# ##0,0;-"),TEXT(К290/$G$1,"# ##0,00;-# ##0,00;-")))</f>
        <v>68,6</v>
      </c>
      <c r="E10" s="236" t="s">
        <v>132</v>
      </c>
      <c r="F10" s="219" t="str">
        <f>IF($C$2=0,TEXT(Н790/$G$1,"# ##0;-# ##0;-"),IF($C$2=1,TEXT(Н790/$G$1,"# ##0,0;-# ##0;-"),TEXT(Н790/$G$1,"# ##0,00;-# ##0;-")))</f>
        <v>118,6</v>
      </c>
      <c r="G10" s="220" t="str">
        <f>IF($C$2=0,TEXT(К790/$G$1,"# ##0;-# ##0;-"),IF($C$2=1,TEXT(К790/$G$1,"# ##0,0;-# ##0;-"),TEXT(К790/$G$1,"# ##0,00;-# ##0;-")))</f>
        <v>89,1</v>
      </c>
    </row>
    <row r="11" spans="2:7" ht="12">
      <c r="B11" s="182" t="s">
        <v>44</v>
      </c>
      <c r="C11" s="221" t="str">
        <f>IF($C$2=0,TEXT((Н210)/$G$1,"# ##0;;-"),IF($C$2=1,TEXT((Н210)/$G$1,"# ##0,0;;-"),TEXT((Н210)/$G$1,"# ##0,00;;-")))</f>
        <v>-</v>
      </c>
      <c r="D11" s="222" t="str">
        <f>IF($C$2=0,TEXT((К210)/$G$1,"# ##0;;-"),IF($C$2=1,TEXT((К210)/$G$1,"# ##0,0;;-"),TEXT((К210)/$G$1,"# ##0,00;;-")))</f>
        <v>-</v>
      </c>
      <c r="E11" s="183" t="s">
        <v>133</v>
      </c>
      <c r="F11" s="221" t="str">
        <f>IF($C$2=0,TEXT(Н710/$G$1,"# ##0;;-"),IF($C$2=1,TEXT(Н710/$G$1,"# ##0,0;;-"),TEXT(Н710/$G$1,"# ##0,00;;-")))</f>
        <v>-</v>
      </c>
      <c r="G11" s="222" t="str">
        <f>IF($C$2=0,TEXT(К710/$G$1,"# ##0;;-"),IF($C$2=1,TEXT(К710/$G$1,"# ##0,0;;-"),TEXT(К710/$G$1,"# ##0,00;;-")))</f>
        <v>-</v>
      </c>
    </row>
    <row r="12" spans="2:7" ht="12">
      <c r="B12" s="183" t="s">
        <v>91</v>
      </c>
      <c r="C12" s="223" t="str">
        <f>IF($C$2=0,TEXT((Н220)/$G$1,"# ##0;;-"),IF($C$2=1,TEXT((Н220)/$G$1,"# ##0,0;;-"),TEXT((Н220)/$G$1,"# ##0,00;;-")))</f>
        <v>11,6</v>
      </c>
      <c r="D12" s="224" t="str">
        <f>IF($C$2=0,TEXT((К220)/$G$1,"# ##0;;-"),IF($C$2=1,TEXT((К220)/$G$1,"# ##0,0;;-"),TEXT((К220)/$G$1,"# ##0,00;;-")))</f>
        <v>11,6</v>
      </c>
      <c r="E12" s="183" t="s">
        <v>134</v>
      </c>
      <c r="F12" s="223" t="str">
        <f>IF($C$2=0,TEXT(Н720/$G$1,"# ##0;;-"),IF($C$2=1,TEXT(Н720/$G$1,"# ##0,0;;-"),TEXT(Н720/$G$1,"# ##0,00;;-")))</f>
        <v>-</v>
      </c>
      <c r="G12" s="224" t="str">
        <f>IF($C$2=0,TEXT(К720/$G$1,"# ##0;;-"),IF($C$2=1,TEXT(К720/$G$1,"# ##0,0;;-"),TEXT(К720/$G$1,"# ##0,00;;-")))</f>
        <v>-</v>
      </c>
    </row>
    <row r="13" spans="2:7" ht="12">
      <c r="B13" s="183" t="s">
        <v>78</v>
      </c>
      <c r="C13" s="223" t="str">
        <f>IF($C$2=0,TEXT(Н230/$G$1,"# ##0;;-"),IF($C$2=1,TEXT(Н230/$G$1,"# ##0,0;;-"),TEXT(Н230/$G$1,"# ##0,00;;-")))</f>
        <v>-</v>
      </c>
      <c r="D13" s="224" t="str">
        <f>IF($C$2=0,TEXT(К230/$G$1,"# ##0;;-"),IF($C$2=1,TEXT(К230/$G$1,"# ##0,0;;-"),TEXT(К230/$G$1,"# ##0,00;;-")))</f>
        <v>-</v>
      </c>
      <c r="E13" s="183" t="s">
        <v>7</v>
      </c>
      <c r="F13" s="223" t="str">
        <f>IF($C$2=0,TEXT((Н730)/$G$1,"# ##0;[Красный]-# ##0;-"),IF($C$2=1,TEXT((Н730)/$G$1,"# ##0,0;[Красный]-# ##0,0;-"),TEXT((Н730)/$G$1,"# ##0,00;[Красный]-# ##0,00;-")))</f>
        <v>118,6</v>
      </c>
      <c r="G13" s="224" t="str">
        <f>IF($C$2=0,TEXT((К730)/$G$1,"# ##0;[Красный]-# ##0;-"),IF($C$2=1,TEXT((К730)/$G$1,"# ##0,0;[Красный]-# ##0,0;-"),TEXT((К730)/$G$1,"# ##0,00;[Красный]-# ##0,00;-")))</f>
        <v>89,1</v>
      </c>
    </row>
    <row r="14" spans="2:7" ht="12">
      <c r="B14" s="183" t="s">
        <v>79</v>
      </c>
      <c r="C14" s="223" t="str">
        <f>IF($C$2=0,TEXT(Н240/$G$1,"# ##0;;-"),IF($C$2=1,TEXT(Н240/$G$1,"# ##0,0;;-"),TEXT(Н240/$G$1,"# ##0,00;;-")))</f>
        <v>-</v>
      </c>
      <c r="D14" s="224" t="str">
        <f>IF($C$2=0,TEXT(К240/$G$1,"# ##0;;-"),IF($C$2=1,TEXT(К240/$G$1,"# ##0,0;;-"),TEXT(К240/$G$1,"# ##0,00;;-")))</f>
        <v>-</v>
      </c>
      <c r="E14" s="237" t="s">
        <v>137</v>
      </c>
      <c r="F14" s="238" t="str">
        <f>IF($C$2=0,TEXT(Н731/$G$1,"# ##0;[Красный]-# ##0;-"),IF($C$2=1,TEXT(Н731/$G$1,"# ##0,0;[Красный]-# ##0,0;-"),TEXT(Н731/$G$1,"# ##0,00;[Красный]-# ##0,00;-")))</f>
        <v>14,6</v>
      </c>
      <c r="G14" s="239" t="str">
        <f>IF($C$2=0,TEXT(К731/$G$1,"# ##0;[Красный]-# ##0;-"),IF($C$2=1,TEXT(К731/$G$1,"# ##0,0;[Красный]-# ##0,0;-"),TEXT(К731/$G$1,"# ##0,00;[Красный]-# ##0,00;-")))</f>
        <v>6,4</v>
      </c>
    </row>
    <row r="15" spans="2:7" ht="12">
      <c r="B15" s="183" t="s">
        <v>48</v>
      </c>
      <c r="C15" s="223" t="str">
        <f>IF($C$2=0,TEXT(Н250/$G$1,"# ##0;[Красный]-# ##0;-"),IF($C$2=1,TEXT(Н250/$G$1,"# ##0,0;[Красный]-# ##0,0;-"),TEXT(Н250/$G$1,"# ##0,00;[Красный]-# ##0,00;-")))</f>
        <v>40,5</v>
      </c>
      <c r="D15" s="224" t="str">
        <f>IF($C$2=0,TEXT(К250/$G$1,"# ##0;[Красный]-# ##0;-"),IF($C$2=1,TEXT(К250/$G$1,"# ##0,0;[Красный]-# ##0,0;-"),TEXT(К250/$G$1,"# ##0,00;[Красный]-# ##0,00;-")))</f>
        <v>56,9</v>
      </c>
      <c r="E15" s="237" t="s">
        <v>135</v>
      </c>
      <c r="F15" s="238" t="str">
        <f>IF($C$2=0,TEXT(Н737/$G$1,"# ##0;[Красный]-# ##0;-"),IF($C$2=1,TEXT(Н737/$G$1,"# ##0,0;[Красный]-# ##0,0;-"),TEXT(Н737/$G$1,"# ##0,00;[Красный]-# ##0,00;-")))</f>
        <v>102,6</v>
      </c>
      <c r="G15" s="239" t="str">
        <f>IF($C$2=0,TEXT(К737/$G$1,"# ##0;;-"),IF($C$2=1,TEXT(К737/$G$1,"# ##0,0;-# ##0;-"),TEXT(К737/$G$1,"# ##0,00;-# ##0;-")))</f>
        <v>79,6</v>
      </c>
    </row>
    <row r="16" spans="2:7" ht="12">
      <c r="B16" s="183" t="s">
        <v>80</v>
      </c>
      <c r="C16" s="223" t="str">
        <f>IF($C$2=0,TEXT(Н270/$G$1,"# ##0;;-"),IF($C$2=1,TEXT(Н270/$G$1,"# ##0,0;;-"),TEXT(Н270/$G$1,"# ##0,00;;-")))</f>
        <v>0,6</v>
      </c>
      <c r="D16" s="224" t="str">
        <f>IF($C$2=0,TEXT(К270/$G$1,"# ##0;;-"),IF($C$2=1,TEXT(К270/$G$1,"# ##0,0;;-"),TEXT(К270/$G$1,"# ##0,00;;-")))</f>
        <v>0,0</v>
      </c>
      <c r="E16" s="237" t="s">
        <v>138</v>
      </c>
      <c r="F16" s="238" t="str">
        <f>IF($C$2=0,TEXT(SUM(Н732,Н733,Н734,Н735,Н736)/$G$1,"# ##0;-# ##0;-"),IF($C$2=1,TEXT(SUM(Н732,Н733,Н734,Н735,Н736)/$G$1,"# ##0,0;-# ##0;-"),TEXT(SUM(Н732,Н733,Н734,Н735,Н736)/$G$1,"# ##0,00;-# ##0;-")))</f>
        <v>1,4</v>
      </c>
      <c r="G16" s="239" t="str">
        <f>IF($C$2=0,TEXT(SUM(К732,К733,К734,К735,К736)/$G$1,"# ##0;-# ##0;-"),IF($C$2=1,TEXT(SUM(К732,К733,К734,К735,К736)/$G$1,"# ##0,0;-# ##0;-"),TEXT(SUM(К732,К733,К734,К735,К736)/$G$1,"# ##0,00;-# ##0;-")))</f>
        <v>3,1</v>
      </c>
    </row>
    <row r="17" spans="2:7" ht="24">
      <c r="B17" s="183" t="s">
        <v>136</v>
      </c>
      <c r="C17" s="223" t="str">
        <f>IF($C$2=0,TEXT((Н280+Н260)/$G$1,"# ##0;;-"),IF($C$2=1,TEXT((Н280+Н260)/$G$1,"# ##0,0;;-"),TEXT((Н280+Н260)/$G$1,"# ##0,00;;-")))</f>
        <v>-</v>
      </c>
      <c r="D17" s="224" t="str">
        <f>IF($C$2=0,TEXT((К280+К260)/$G$1,"# ##0;;-"),IF($C$2=1,TEXT((К280+К260)/$G$1,"# ##0,0;;-"),TEXT((К280+К260)/$G$1,"# ##0,00;;-")))</f>
        <v>-</v>
      </c>
      <c r="E17" s="183" t="s">
        <v>139</v>
      </c>
      <c r="F17" s="223" t="str">
        <f>IF($C$2=0,TEXT(SUM(Н740)/$G$1,"# ##0;;-"),IF($C$2=1,TEXT(SUM(Н740)/$G$1,"# ##0,0;-# ##0;-"),TEXT(SUM(Н740)/$G$1,"# ##0,00;-# ##0;-")))</f>
        <v>-</v>
      </c>
      <c r="G17" s="224" t="str">
        <f>IF($C$2=0,TEXT(SUM(К740)/$G$1,"# ##0;-# ##0;-"),IF($C$2=1,TEXT(SUM(К740)/$G$1,"# ##0,0;-# ##0;-"),TEXT(SUM(К740)/$G$1,"# ##0,00;-# ##0;-")))</f>
        <v>-</v>
      </c>
    </row>
    <row r="18" spans="2:7" ht="12">
      <c r="B18" s="181" t="s">
        <v>30</v>
      </c>
      <c r="C18" s="225" t="str">
        <f>IF($C$2=0,TEXT(Н390/$G$1,"# ##0;;-"),IF($C$2=1,TEXT(Н390/$G$1,"# ##0,0;;-"),TEXT(Н390/$G$1,"# ##0,00;;-")))</f>
        <v>120,8</v>
      </c>
      <c r="D18" s="226" t="str">
        <f>IF($C$2=0,TEXT(К390/$G$1,"# ##0;;-"),IF($C$2=1,TEXT(К390/$G$1,"# ##0,0;;-"),TEXT(К390/$G$1,"# ##0,00;;-")))</f>
        <v>136,6</v>
      </c>
      <c r="E18" s="236" t="s">
        <v>30</v>
      </c>
      <c r="F18" s="225" t="str">
        <f>IF($C$2=0,TEXT(Н890/$G$1,"# ##0;;-"),IF($C$2=1,TEXT(Н890/$G$1,"# ##0,0;;-"),TEXT(Н890/$G$1,"# ##0,00;;-")))</f>
        <v>120,8</v>
      </c>
      <c r="G18" s="226" t="str">
        <f>IF($C$2=0,TEXT(К890/$G$1,"# ##0;;-"),IF($C$2=1,TEXT(К890/$G$1,"# ##0,0;;-"),TEXT(К890/$G$1,"# ##0,00;;-")))</f>
        <v>136,6</v>
      </c>
    </row>
    <row r="19" ht="12">
      <c r="E19" s="185"/>
    </row>
  </sheetData>
  <sheetProtection sheet="1" objects="1" scenarios="1"/>
  <mergeCells count="3">
    <mergeCell ref="B8:B9"/>
    <mergeCell ref="C8:C9"/>
    <mergeCell ref="D8:D9"/>
  </mergeCells>
  <conditionalFormatting sqref="C8:D18 F8:G18 C21">
    <cfRule type="cellIs" priority="1" dxfId="0" operator="lessThan" stopIfTrue="1">
      <formula>0</formula>
    </cfRule>
  </conditionalFormatting>
  <dataValidations count="2">
    <dataValidation type="list" allowBlank="1" showInputMessage="1" showErrorMessage="1" sqref="C1">
      <formula1>"тыс. руб.,млн. руб.,млрд. руб."</formula1>
    </dataValidation>
    <dataValidation type="list" allowBlank="1" showInputMessage="1" showErrorMessage="1" sqref="C2:C3">
      <formula1>"0,1,2"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33"/>
  <sheetViews>
    <sheetView workbookViewId="0" topLeftCell="A18">
      <selection activeCell="A20" sqref="A20"/>
    </sheetView>
  </sheetViews>
  <sheetFormatPr defaultColWidth="9.00390625" defaultRowHeight="12.75"/>
  <cols>
    <col min="1" max="1" width="66.625" style="1" customWidth="1"/>
    <col min="2" max="2" width="7.875" style="1" bestFit="1" customWidth="1"/>
    <col min="3" max="16384" width="9.125" style="1" customWidth="1"/>
  </cols>
  <sheetData>
    <row r="1" spans="1:2" ht="12.75" hidden="1">
      <c r="A1" s="241" t="str">
        <f>CONCATENATE("Коэффициент текущей ликвидности, норм ≥ ",TEXT(К1норм,"0,00"))</f>
        <v>Коэффициент текущей ликвидности, норм ≥ 1,00</v>
      </c>
      <c r="B1" s="241"/>
    </row>
    <row r="2" spans="1:2" ht="12.75" hidden="1">
      <c r="A2" s="241" t="str">
        <f>CONCATENATE("на ",IF(MONTH(Баланс!D1)=1,TEXT(DATE(YEAR(Баланс!D1-1),1,1),"ДД.ММ.ГГ"),TEXT(DATE(YEAR(Баланс!D1),1,1),"ДД.ММ.ГГ")))</f>
        <v>на 01.01.05</v>
      </c>
      <c r="B2" s="244">
        <f>ROUND(Анализ!F135,2)</f>
        <v>0.44</v>
      </c>
    </row>
    <row r="3" spans="1:2" ht="12.75" hidden="1">
      <c r="A3" s="241" t="str">
        <f>CONCATENATE("на ",TEXT(Баланс!D1,"ДД.ММ.ГГ"))</f>
        <v>на 01.06.05</v>
      </c>
      <c r="B3" s="244">
        <f>ROUND(Анализ!H135,2)</f>
        <v>0.77</v>
      </c>
    </row>
    <row r="4" spans="1:2" ht="12.75" hidden="1">
      <c r="A4" s="241"/>
      <c r="B4" s="241"/>
    </row>
    <row r="5" spans="1:2" ht="12.75" hidden="1">
      <c r="A5" s="241" t="str">
        <f>CONCATENATE("Коэффициент обеспеченности собственными средствами, норм ≥ ",TEXT(К2норм,"0,00"))</f>
        <v>Коэффициент обеспеченности собственными средствами, норм ≥ 0,10</v>
      </c>
      <c r="B5" s="241"/>
    </row>
    <row r="6" spans="1:2" ht="12.75" hidden="1">
      <c r="A6" s="241" t="str">
        <f>A2</f>
        <v>на 01.01.05</v>
      </c>
      <c r="B6" s="244">
        <f>ROUND(Анализ!F136,2)</f>
        <v>-1.25</v>
      </c>
    </row>
    <row r="7" spans="1:2" ht="12.75" hidden="1">
      <c r="A7" s="242" t="str">
        <f>A3</f>
        <v>на 01.06.05</v>
      </c>
      <c r="B7" s="244">
        <f>ROUND(Анализ!H136,2)</f>
        <v>-0.3</v>
      </c>
    </row>
    <row r="8" spans="1:2" ht="12.75" hidden="1">
      <c r="A8" s="241"/>
      <c r="B8" s="241"/>
    </row>
    <row r="9" spans="1:2" ht="12.75" hidden="1">
      <c r="A9" s="241" t="str">
        <f>CONCATENATE("Коэффициент обеспеченности финансовых обязательств активами, норм ≤ ",ROUND(Анализ!D137,2))</f>
        <v>Коэффициент обеспеченности финансовых обязательств активами, норм ≤ 0,85</v>
      </c>
      <c r="B9" s="241"/>
    </row>
    <row r="10" spans="1:2" ht="12.75" hidden="1">
      <c r="A10" s="241" t="str">
        <f>A6</f>
        <v>на 01.01.05</v>
      </c>
      <c r="B10" s="244">
        <f>ROUND(Анализ!F137,2)</f>
        <v>0.98</v>
      </c>
    </row>
    <row r="11" spans="1:2" ht="12.75" hidden="1">
      <c r="A11" s="242" t="str">
        <f>A7</f>
        <v>на 01.06.05</v>
      </c>
      <c r="B11" s="244">
        <f>ROUND(Анализ!H137,2)</f>
        <v>0.65</v>
      </c>
    </row>
    <row r="12" spans="1:2" ht="12.75" hidden="1">
      <c r="A12" s="241"/>
      <c r="B12" s="241"/>
    </row>
    <row r="13" spans="1:2" ht="12.75" hidden="1">
      <c r="A13" s="241" t="str">
        <f>CONCATENATE(IF(OR(AND(Анализ!F138="НЕ РАССЧИТЫВАЕТСЯ",Анализ!F139="НЕ РАССЧИТЫВАЕТСЯ"),Анализ!F139="НЕ РАССЧИТЫВАЕТСЯ"),"Коэффициент восстановления платежеспособности, норм ≥ ","Коэффициент утраты платежеспособности, норм ≥ "),TEXT(Анализ!D138,"0,00"))</f>
        <v>Коэффициент восстановления платежеспособности, норм ≥ 1,00</v>
      </c>
      <c r="B13" s="241"/>
    </row>
    <row r="14" spans="1:2" ht="12.75" hidden="1">
      <c r="A14" s="243" t="str">
        <f>A11</f>
        <v>на 01.06.05</v>
      </c>
      <c r="B14" s="244" t="str">
        <f>IF(OR(AND(Анализ!F138="НЕ РАССЧИТЫВАЕТСЯ",Анализ!F139="НЕ РАССЧИТЫВАЕТСЯ"),Анализ!F139="НЕ РАССЧИТЫВАЕТСЯ"),TEXT(Анализ!F138,"0,00"),TEXT(Анализ!F139,"0,00"))</f>
        <v>1,16</v>
      </c>
    </row>
    <row r="15" ht="12.75" hidden="1">
      <c r="A15" s="245"/>
    </row>
    <row r="16" ht="12.75" hidden="1">
      <c r="A16" s="1" t="s">
        <v>216</v>
      </c>
    </row>
    <row r="17" spans="1:2" ht="12.75" hidden="1">
      <c r="A17" s="1" t="str">
        <f>IF(MONTH(Баланс!D1)=1,CONCATENATE("за ",YEAR(Баланс!D1)-1," год"),IF(MONTH(Баланс!D1)=2,CONCATENATE("за ",MONTH(Баланс!D1)-1," месяц ",YEAR(Баланс!D1)," года"),IF(AND(MONTH(Баланс!D1)&gt;=3,MONTH(Баланс!D1)&lt;=5),CONCATENATE("за ",MONTH(Баланс!D1)-1," месяца ",YEAR(Баланс!D1)," года"),CONCATENATE("за ",MONTH(Баланс!D1)-1," месяцев ",YEAR(Баланс!D1)," года"))))</f>
        <v>за 5 месяцев 2005 года</v>
      </c>
      <c r="B17" s="1" t="e">
        <f>ROUND(Анализ!H114,2)</f>
        <v>#DIV/0!</v>
      </c>
    </row>
    <row r="20" ht="217.5" customHeight="1">
      <c r="A20" s="247" t="s">
        <v>223</v>
      </c>
    </row>
    <row r="21" ht="12.75">
      <c r="A21" s="246"/>
    </row>
    <row r="22" ht="12.75">
      <c r="A22" s="246"/>
    </row>
    <row r="23" ht="12.75">
      <c r="A23" s="246"/>
    </row>
    <row r="24" ht="12.75">
      <c r="A24" s="246"/>
    </row>
    <row r="25" ht="12.75">
      <c r="A25" s="246"/>
    </row>
    <row r="26" ht="12.75">
      <c r="A26" s="246"/>
    </row>
    <row r="27" ht="12.75">
      <c r="A27" s="246"/>
    </row>
    <row r="28" ht="12.75">
      <c r="A28" s="246"/>
    </row>
    <row r="29" ht="12.75">
      <c r="A29" s="246"/>
    </row>
    <row r="30" ht="12.75">
      <c r="A30" s="246"/>
    </row>
    <row r="31" ht="12.75">
      <c r="A31" s="246"/>
    </row>
    <row r="32" ht="12.75">
      <c r="A32" s="246"/>
    </row>
    <row r="33" ht="12.75">
      <c r="A33" s="24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K533"/>
  <sheetViews>
    <sheetView workbookViewId="0" topLeftCell="A1">
      <selection activeCell="A2" sqref="A2"/>
    </sheetView>
  </sheetViews>
  <sheetFormatPr defaultColWidth="9.00390625" defaultRowHeight="12.75"/>
  <cols>
    <col min="1" max="1" width="41.25390625" style="1" bestFit="1" customWidth="1"/>
    <col min="2" max="2" width="11.75390625" style="248" customWidth="1"/>
    <col min="3" max="3" width="8.125" style="250" bestFit="1" customWidth="1"/>
    <col min="4" max="4" width="7.00390625" style="1" hidden="1" customWidth="1"/>
    <col min="5" max="5" width="3.25390625" style="250" customWidth="1"/>
    <col min="6" max="6" width="1.12109375" style="250" customWidth="1"/>
    <col min="7" max="7" width="39.625" style="1" customWidth="1"/>
    <col min="8" max="8" width="11.125" style="248" customWidth="1"/>
    <col min="9" max="9" width="8.125" style="250" customWidth="1"/>
    <col min="10" max="10" width="7.00390625" style="1" hidden="1" customWidth="1"/>
    <col min="11" max="11" width="3.625" style="1" customWidth="1"/>
    <col min="12" max="16384" width="9.125" style="1" customWidth="1"/>
  </cols>
  <sheetData>
    <row r="1" spans="3:9" ht="28.5" customHeight="1">
      <c r="C1" s="249"/>
      <c r="F1" s="251"/>
      <c r="I1" s="249"/>
    </row>
    <row r="2" spans="1:11" s="254" customFormat="1" ht="25.5">
      <c r="A2" s="259" t="s">
        <v>150</v>
      </c>
      <c r="B2" s="260" t="s">
        <v>152</v>
      </c>
      <c r="C2" s="261" t="s">
        <v>154</v>
      </c>
      <c r="D2" s="252"/>
      <c r="E2" s="267"/>
      <c r="F2" s="253"/>
      <c r="G2" s="259" t="s">
        <v>151</v>
      </c>
      <c r="H2" s="260" t="s">
        <v>152</v>
      </c>
      <c r="I2" s="261" t="s">
        <v>153</v>
      </c>
      <c r="J2" s="252"/>
      <c r="K2" s="267"/>
    </row>
    <row r="3" spans="1:11" s="10" customFormat="1" ht="12.75">
      <c r="A3" s="268" t="s">
        <v>149</v>
      </c>
      <c r="B3" s="269">
        <f ca="1">INDIRECT(ADDRESS(D3+3,4),1)</f>
        <v>0</v>
      </c>
      <c r="C3" s="272">
        <f>B3/(Анализ!$F$30/'краткая структура'!$G$1)</f>
        <v>0</v>
      </c>
      <c r="D3" s="255">
        <f>E3</f>
        <v>3</v>
      </c>
      <c r="E3" s="266">
        <v>3</v>
      </c>
      <c r="F3" s="256"/>
      <c r="G3" s="262" t="s">
        <v>149</v>
      </c>
      <c r="H3" s="263">
        <f ca="1">INDIRECT(ADDRESS(J3+3,10),1)</f>
        <v>0</v>
      </c>
      <c r="I3" s="264">
        <f>H3/(Анализ!$F$30/'краткая структура'!$G$1)</f>
        <v>0</v>
      </c>
      <c r="J3" s="255">
        <f>K3</f>
        <v>2</v>
      </c>
      <c r="K3" s="266">
        <v>2</v>
      </c>
    </row>
    <row r="4" spans="1:10" ht="12.75">
      <c r="A4" s="270" t="str">
        <f>LEFT(Анализ!C22,22)</f>
        <v>Расчеты с покупателями</v>
      </c>
      <c r="B4" s="271">
        <f>Анализ!F22/'краткая структура'!G1</f>
        <v>0</v>
      </c>
      <c r="C4" s="265">
        <f>ROUND(B4/(Анализ!$F$30/'краткая структура'!$G$1),3)</f>
        <v>0</v>
      </c>
      <c r="D4" s="248">
        <f>SUM($B$4:B4)</f>
        <v>0</v>
      </c>
      <c r="E4" s="249"/>
      <c r="F4" s="251"/>
      <c r="G4" s="270" t="str">
        <f>LEFT(Анализ!C50,29)</f>
        <v>Краткосрочные кредиты и займы</v>
      </c>
      <c r="H4" s="271">
        <f>Анализ!F50/'краткая структура'!$G$1</f>
        <v>0</v>
      </c>
      <c r="I4" s="265">
        <f>ROUND(H4/(Анализ!$F$30/'краткая структура'!$G$1),3)</f>
        <v>0</v>
      </c>
      <c r="J4" s="248">
        <f>SUM($H$4:H4)</f>
        <v>0</v>
      </c>
    </row>
    <row r="5" spans="1:10" ht="12.75">
      <c r="A5" s="270" t="str">
        <f>LEFT(Анализ!C19,26)</f>
        <v>Готовая продукция и товары</v>
      </c>
      <c r="B5" s="271">
        <f>Анализ!F19/'краткая структура'!G1</f>
        <v>0</v>
      </c>
      <c r="C5" s="265">
        <f>ROUND(B5/(Анализ!$F$30/'краткая структура'!$G$1),3)</f>
        <v>0</v>
      </c>
      <c r="D5" s="248">
        <f>SUM($B$4:B5)</f>
        <v>0</v>
      </c>
      <c r="E5" s="249"/>
      <c r="F5" s="251"/>
      <c r="G5" s="270" t="str">
        <f>CONCATENATE(MID(Анализ!C58,1,21)," ",MID(Анализ!C58,38,18))</f>
        <v>Расчеты с акционерами по выплате доходов</v>
      </c>
      <c r="H5" s="271">
        <f>Анализ!F58/'краткая структура'!$G$1</f>
        <v>0</v>
      </c>
      <c r="I5" s="265">
        <f>ROUND(H5/(Анализ!$F$30/'краткая структура'!$G$1),3)</f>
        <v>0</v>
      </c>
      <c r="J5" s="248">
        <f>SUM($H$4:H5)</f>
        <v>0</v>
      </c>
    </row>
    <row r="6" spans="1:10" ht="12.75">
      <c r="A6" s="270" t="str">
        <f>LEFT(Анализ!C6,17)</f>
        <v>Основные средства</v>
      </c>
      <c r="B6" s="271">
        <f>Анализ!F6/'краткая структура'!G1</f>
        <v>0</v>
      </c>
      <c r="C6" s="265">
        <f>ROUND(B6/(Анализ!$F$30/'краткая структура'!$G$1),3)</f>
        <v>0</v>
      </c>
      <c r="D6" s="248">
        <f>SUM($B$4:B6)</f>
        <v>0</v>
      </c>
      <c r="E6" s="249"/>
      <c r="F6" s="251"/>
      <c r="G6" s="270" t="str">
        <f>LEFT(Анализ!C53,35)</f>
        <v>Расчеты с поставщикамии подрядчикам</v>
      </c>
      <c r="H6" s="271">
        <f>Анализ!F53/'краткая структура'!$G$1</f>
        <v>6.42</v>
      </c>
      <c r="I6" s="265">
        <f>ROUND(H6/(Анализ!$F$30/'краткая структура'!$G$1),3)</f>
        <v>0.047</v>
      </c>
      <c r="J6" s="248">
        <f>SUM($H$4:H6)</f>
        <v>6.42</v>
      </c>
    </row>
    <row r="7" spans="1:10" ht="12.75">
      <c r="A7" s="270" t="str">
        <f>LEFT(Анализ!C24,41)</f>
        <v>Расчеты с разными дебиторами и кредиторам</v>
      </c>
      <c r="B7" s="271">
        <f>Анализ!F24/'краткая структура'!G1</f>
        <v>56.397</v>
      </c>
      <c r="C7" s="265">
        <f>ROUND(B7/(Анализ!$F$30/'краткая структура'!$G$1),3)</f>
        <v>0.413</v>
      </c>
      <c r="D7" s="248">
        <f>SUM($B$4:B7)</f>
        <v>56.397</v>
      </c>
      <c r="E7" s="249"/>
      <c r="F7" s="251"/>
      <c r="G7" s="270" t="str">
        <f>CONCATENATE("И",MID(LOWER((RIGHT(Анализ!C32,28))),2,27))</f>
        <v>Источник собственных средств</v>
      </c>
      <c r="H7" s="271">
        <f>Анализ!F32/'краткая структура'!$G$1</f>
        <v>57.862</v>
      </c>
      <c r="I7" s="265">
        <f>ROUND(H7/(Анализ!$F$30/'краткая структура'!$G$1),3)</f>
        <v>0.423</v>
      </c>
      <c r="J7" s="248">
        <f>SUM($H$4:H7)</f>
        <v>64.282</v>
      </c>
    </row>
    <row r="8" spans="1:10" ht="12.75">
      <c r="A8" s="270" t="str">
        <f>LEFT(Анализ!C25,32)</f>
        <v>Прочая дебиторская задолженность</v>
      </c>
      <c r="B8" s="271">
        <f>Анализ!F25/'краткая структура'!G1</f>
        <v>0.519</v>
      </c>
      <c r="C8" s="265">
        <f>ROUND(B8/(Анализ!$F$30/'краткая структура'!$G$1),3)</f>
        <v>0.004</v>
      </c>
      <c r="D8" s="248">
        <f>SUM($B$4:B8)</f>
        <v>56.916</v>
      </c>
      <c r="E8" s="249"/>
      <c r="F8" s="251"/>
      <c r="G8" s="270" t="str">
        <f>LEFT(Анализ!C45,22)</f>
        <v>Прибыль отчетного года</v>
      </c>
      <c r="H8" s="271">
        <f>Анализ!F45/'краткая структура'!$G$1</f>
        <v>0</v>
      </c>
      <c r="I8" s="265">
        <f>ROUND(H8/(Анализ!$F$30/'краткая структура'!$G$1),3)</f>
        <v>0</v>
      </c>
      <c r="J8" s="248">
        <f>SUM($H$4:H8)</f>
        <v>64.282</v>
      </c>
    </row>
    <row r="9" spans="1:10" ht="12.75">
      <c r="A9" s="270" t="str">
        <f>LEFT(Анализ!C18,34)</f>
        <v>Налоги по приобретенным ценностям </v>
      </c>
      <c r="B9" s="271">
        <f>ROUND(Анализ!F18/'краткая структура'!G1,2)</f>
        <v>11.64</v>
      </c>
      <c r="C9" s="265">
        <f>ROUND(B9/(Анализ!$F$30/'краткая структура'!$G$1),3)</f>
        <v>0.085</v>
      </c>
      <c r="D9" s="248">
        <f>SUM($B$4:B9)</f>
        <v>68.556</v>
      </c>
      <c r="E9" s="249"/>
      <c r="F9" s="251"/>
      <c r="G9" s="270" t="str">
        <f>LEFT(Анализ!C56,27)</f>
        <v>Расчеты по налогом и сборам</v>
      </c>
      <c r="H9" s="271">
        <f>Анализ!F56/'краткая структура'!$G$1</f>
        <v>0</v>
      </c>
      <c r="I9" s="265">
        <f>ROUND(H9/(Анализ!$F$30/'краткая структура'!$G$1),3)</f>
        <v>0</v>
      </c>
      <c r="J9" s="248">
        <f>SUM($H$4:H9)</f>
        <v>64.282</v>
      </c>
    </row>
    <row r="10" spans="1:10" ht="12.75">
      <c r="A10" s="270" t="str">
        <f>LEFT(Анализ!C9,31)</f>
        <v>Вложения во внеоборотные активы</v>
      </c>
      <c r="B10" s="271">
        <f>ROUND(Анализ!F9/'краткая структура'!G1,2)</f>
        <v>68.07</v>
      </c>
      <c r="C10" s="265">
        <f>ROUND(B10/(Анализ!$F$30/'краткая структура'!$G$1),3)</f>
        <v>0.498</v>
      </c>
      <c r="D10" s="248">
        <f>SUM($B$4:B10)</f>
        <v>136.62599999999998</v>
      </c>
      <c r="E10" s="249"/>
      <c r="F10" s="251"/>
      <c r="G10" s="270" t="str">
        <f>LEFT(Анализ!C54,23)</f>
        <v>Расчеты по оплате труда</v>
      </c>
      <c r="H10" s="271">
        <f>Анализ!F54/'краткая структура'!$G$1</f>
        <v>2.726</v>
      </c>
      <c r="I10" s="265">
        <f>ROUND(H10/(Анализ!$F$30/'краткая структура'!$G$1),3)</f>
        <v>0.02</v>
      </c>
      <c r="J10" s="248">
        <f>SUM($H$4:H10)</f>
        <v>67.008</v>
      </c>
    </row>
    <row r="11" spans="1:10" ht="12.75">
      <c r="A11" s="270" t="str">
        <f>CONCATENATE(LEFT(Анализ!C14,21),".")</f>
        <v>Сырье, материалы и др.</v>
      </c>
      <c r="B11" s="271">
        <f>Анализ!F14/'краткая структура'!G1</f>
        <v>0</v>
      </c>
      <c r="C11" s="265">
        <f>ROUND(B11/(Анализ!$F$30/'краткая структура'!$G$1),3)</f>
        <v>0</v>
      </c>
      <c r="D11" s="248">
        <f>SUM($B$4:B11)</f>
        <v>136.62599999999998</v>
      </c>
      <c r="E11" s="249"/>
      <c r="F11" s="251"/>
      <c r="G11" s="270" t="str">
        <f>LEFT(Анализ!C57,34)</f>
        <v>Расчеты по социальному страхованию</v>
      </c>
      <c r="H11" s="271">
        <f>Анализ!F57/'краткая структура'!$G$1</f>
        <v>0.348</v>
      </c>
      <c r="I11" s="265">
        <f>ROUND(H11/(Анализ!$F$30/'краткая структура'!$G$1),3)</f>
        <v>0.003</v>
      </c>
      <c r="J11" s="248">
        <f>SUM($H$4:H11)</f>
        <v>67.356</v>
      </c>
    </row>
    <row r="12" spans="1:10" ht="12.75">
      <c r="A12" s="270" t="str">
        <f>LEFT(Анализ!C16,26)</f>
        <v>Незавершенное производство</v>
      </c>
      <c r="B12" s="271">
        <f>Анализ!F16/'краткая структура'!G1</f>
        <v>0</v>
      </c>
      <c r="C12" s="265">
        <f>ROUND(B12/(Анализ!$F$30/'краткая структура'!$G$1),3)</f>
        <v>0</v>
      </c>
      <c r="D12" s="248">
        <f>SUM($B$4:B12)</f>
        <v>136.62599999999998</v>
      </c>
      <c r="E12" s="249"/>
      <c r="F12" s="251"/>
      <c r="G12" s="270" t="str">
        <f>Анализ!C55</f>
        <v>Расчеты по прочим операциям с персоналом</v>
      </c>
      <c r="H12" s="271">
        <f>Анализ!F55/'краткая структура'!$G$1</f>
        <v>0</v>
      </c>
      <c r="I12" s="265">
        <f>ROUND(H12/(Анализ!$F$30/'краткая структура'!$G$1),3)</f>
        <v>0</v>
      </c>
      <c r="J12" s="248">
        <f>SUM($H$4:H12)</f>
        <v>67.356</v>
      </c>
    </row>
    <row r="13" spans="1:10" ht="12.75">
      <c r="A13" s="270" t="str">
        <f>LEFT(Анализ!C27,17)</f>
        <v>Денежные средства</v>
      </c>
      <c r="B13" s="271">
        <f>Анализ!F27/'краткая структура'!G1</f>
        <v>0.016</v>
      </c>
      <c r="C13" s="265">
        <f>ROUND(B13/(Анализ!$F$30/'краткая структура'!$G$1),3)</f>
        <v>0</v>
      </c>
      <c r="D13" s="248">
        <f>SUM($B$4:B13)</f>
        <v>136.64199999999997</v>
      </c>
      <c r="E13" s="249"/>
      <c r="F13" s="251"/>
      <c r="G13" s="270" t="str">
        <f>LEFT(Анализ!C59,28)</f>
        <v>Расчеты с разными дебиторами</v>
      </c>
      <c r="H13" s="271">
        <f>Анализ!F59/'краткая структура'!$G$1</f>
        <v>79.583</v>
      </c>
      <c r="I13" s="265">
        <f>ROUND(H13/(Анализ!$F$30/'краткая структура'!$G$1),3)</f>
        <v>0.582</v>
      </c>
      <c r="J13" s="248">
        <f>SUM($H$4:H13)</f>
        <v>146.939</v>
      </c>
    </row>
    <row r="14" spans="1:10" ht="12.75">
      <c r="A14" s="270" t="str">
        <f>LEFT(Анализ!C7,21)</f>
        <v>Нематериальные активы</v>
      </c>
      <c r="B14" s="271">
        <f>Анализ!F7/'краткая структура'!G1</f>
        <v>0</v>
      </c>
      <c r="C14" s="265">
        <f>ROUND(B14/(Анализ!$F$30/'краткая структура'!$G$1),3)</f>
        <v>0</v>
      </c>
      <c r="D14" s="248">
        <f>SUM($B$4:B14)</f>
        <v>136.64199999999997</v>
      </c>
      <c r="E14" s="249"/>
      <c r="F14" s="251"/>
      <c r="G14" s="270" t="str">
        <f>Анализ!C60</f>
        <v>Прочие виды обязательств</v>
      </c>
      <c r="H14" s="271">
        <f>Анализ!F60/'краткая структура'!$G$1</f>
        <v>0</v>
      </c>
      <c r="I14" s="265">
        <f>ROUND(H14/(Анализ!$F$30/'краткая структура'!$G$1),3)</f>
        <v>0</v>
      </c>
      <c r="J14" s="248"/>
    </row>
    <row r="15" spans="1:10" ht="12.75">
      <c r="A15" s="270" t="str">
        <f>LEFT(Анализ!C26,19)</f>
        <v>Финансовые вложения</v>
      </c>
      <c r="B15" s="271">
        <f>Анализ!F26/'краткая структура'!G1</f>
        <v>0</v>
      </c>
      <c r="C15" s="265">
        <f>ROUND(B15/(Анализ!$F$30/'краткая структура'!$G$1),3)</f>
        <v>0</v>
      </c>
      <c r="D15" s="248">
        <f>SUM($B$4:B15)</f>
        <v>136.64199999999997</v>
      </c>
      <c r="E15" s="249"/>
      <c r="F15" s="251"/>
      <c r="G15" s="270" t="str">
        <f>LEFT(Анализ!C44,23)</f>
        <v>Доходы будущих периодов</v>
      </c>
      <c r="H15" s="271">
        <f>Анализ!F44/'краткая структура'!$G$1</f>
        <v>0</v>
      </c>
      <c r="I15" s="265">
        <f>ROUND(H15/(Анализ!$F$30/'краткая структура'!$G$1),3)</f>
        <v>0</v>
      </c>
      <c r="J15" s="248">
        <f>SUM($H$4:H14)</f>
        <v>146.939</v>
      </c>
    </row>
    <row r="16" spans="1:10" ht="12.75">
      <c r="A16" s="270" t="str">
        <f>LEFT(Анализ!C20,18)</f>
        <v>Товары отгруженные</v>
      </c>
      <c r="B16" s="271">
        <f>ROUND(Анализ!F20/'краткая структура'!G1,2)</f>
        <v>0</v>
      </c>
      <c r="C16" s="265">
        <f>ROUND(B16/(Анализ!$F$30/'краткая структура'!$G$1),3)</f>
        <v>0</v>
      </c>
      <c r="D16" s="248">
        <f>SUM($B$4:B16)</f>
        <v>136.64199999999997</v>
      </c>
      <c r="E16" s="249"/>
      <c r="F16" s="251"/>
      <c r="G16" s="270" t="str">
        <f>LEFT(Анализ!C42,28)</f>
        <v>Резервы предстоящих расходов</v>
      </c>
      <c r="H16" s="271">
        <f>Анализ!F42/'краткая структура'!$G$1</f>
        <v>0</v>
      </c>
      <c r="I16" s="265">
        <f>ROUND(H16/(Анализ!$F$30/'краткая структура'!$G$1),3)</f>
        <v>0</v>
      </c>
      <c r="J16" s="248">
        <f>SUM($H$4:H15)</f>
        <v>146.939</v>
      </c>
    </row>
    <row r="17" spans="1:10" ht="12.75">
      <c r="A17" s="270" t="str">
        <f>Анализ!C28</f>
        <v>Прочие оборотные активы</v>
      </c>
      <c r="B17" s="271">
        <f>Анализ!F28/'краткая структура'!G1</f>
        <v>0</v>
      </c>
      <c r="C17" s="265">
        <f>ROUND(B17/(Анализ!$F$30/'краткая структура'!$G$1),3)</f>
        <v>0</v>
      </c>
      <c r="D17" s="248">
        <f>SUM($B$4:B17)</f>
        <v>136.64199999999997</v>
      </c>
      <c r="E17" s="249"/>
      <c r="F17" s="251"/>
      <c r="G17" s="270" t="str">
        <f>LEFT(Анализ!C46,21)</f>
        <v>Убыток отчетного года</v>
      </c>
      <c r="H17" s="271">
        <f>Анализ!F46/'краткая структура'!$G$1</f>
        <v>-0.018</v>
      </c>
      <c r="I17" s="265">
        <f>ROUND(H17/(Анализ!$F$30/'краткая структура'!$G$1),3)</f>
        <v>0</v>
      </c>
      <c r="J17" s="248">
        <f>SUM($H$4:H16)</f>
        <v>146.939</v>
      </c>
    </row>
    <row r="18" spans="1:10" ht="12.75">
      <c r="A18" s="270" t="str">
        <f>Анализ!C17</f>
        <v>Прочие запасы и затраты</v>
      </c>
      <c r="B18" s="271">
        <f>Анализ!F17/'краткая структура'!G1</f>
        <v>0</v>
      </c>
      <c r="C18" s="265">
        <f>ROUND(B18/(Анализ!$F$30/'краткая структура'!$G$1),3)</f>
        <v>0</v>
      </c>
      <c r="D18" s="248">
        <f>SUM($B$4:B18)</f>
        <v>136.64199999999997</v>
      </c>
      <c r="E18" s="249"/>
      <c r="F18" s="251"/>
      <c r="G18" s="270" t="str">
        <f>Анализ!C47</f>
        <v>Прочие доходы и расходы</v>
      </c>
      <c r="H18" s="271">
        <f>Анализ!F47/'краткая структура'!$G$1</f>
        <v>0</v>
      </c>
      <c r="I18" s="265">
        <f>ROUND(H18/(Анализ!$F$30/'краткая структура'!$G$1),3)</f>
        <v>0</v>
      </c>
      <c r="J18" s="248">
        <f>SUM($H$4:H17)</f>
        <v>146.921</v>
      </c>
    </row>
    <row r="19" spans="1:10" ht="12.75">
      <c r="A19" s="270" t="str">
        <f>LEFT(Анализ!C8,41)</f>
        <v>Доходные вложения в материальные ценности</v>
      </c>
      <c r="B19" s="271">
        <f>Анализ!F8/'краткая структура'!G1</f>
        <v>0</v>
      </c>
      <c r="C19" s="265">
        <f>ROUND(B19/(Анализ!$F$30/'краткая структура'!$G$1),3)</f>
        <v>0</v>
      </c>
      <c r="D19" s="248">
        <f>SUM($B$4:B19)</f>
        <v>136.64199999999997</v>
      </c>
      <c r="E19" s="249"/>
      <c r="F19" s="251"/>
      <c r="G19" s="270" t="str">
        <f>LEFT(Анализ!C51,28)</f>
        <v>Долгосрочные кредиты и займы</v>
      </c>
      <c r="H19" s="271">
        <f>Анализ!F51/'краткая структура'!$G$1</f>
        <v>0</v>
      </c>
      <c r="I19" s="265">
        <f>ROUND(H19/(Анализ!$F$30/'краткая структура'!$G$1),3)</f>
        <v>0</v>
      </c>
      <c r="J19" s="248">
        <f>SUM($H$4:H18)</f>
        <v>146.921</v>
      </c>
    </row>
    <row r="20" spans="1:10" ht="12.75">
      <c r="A20" s="270" t="str">
        <f>Анализ!C10</f>
        <v>Прочие внеоборотные активы</v>
      </c>
      <c r="B20" s="271">
        <f>Анализ!F10/'краткая структура'!G1</f>
        <v>0</v>
      </c>
      <c r="C20" s="265">
        <f>ROUND(B20/(Анализ!$F$30/'краткая структура'!$G$1),3)</f>
        <v>0</v>
      </c>
      <c r="D20" s="248">
        <f>SUM($B$4:B20)</f>
        <v>136.64199999999997</v>
      </c>
      <c r="E20" s="249"/>
      <c r="F20" s="251"/>
      <c r="G20" s="270" t="str">
        <f>LEFT(Анализ!C43,24)</f>
        <v>Расходы будущих периодов</v>
      </c>
      <c r="H20" s="271">
        <f>Анализ!F43/'краткая структура'!$G$1</f>
        <v>-10.283</v>
      </c>
      <c r="I20" s="265">
        <f>ROUND(H20/(Анализ!$F$30/'краткая структура'!$G$1),3)</f>
        <v>-0.075</v>
      </c>
      <c r="J20" s="248">
        <f>SUM($H$4:H19)</f>
        <v>146.921</v>
      </c>
    </row>
    <row r="21" spans="1:10" ht="12.75">
      <c r="A21" s="270" t="str">
        <f>LEFT(Анализ!C15,33)</f>
        <v>Животные на выращивании и откорме</v>
      </c>
      <c r="B21" s="271">
        <f>Анализ!F15/'краткая структура'!G1</f>
        <v>0</v>
      </c>
      <c r="C21" s="265">
        <f>ROUND(B21/(Анализ!$F$30/'краткая структура'!$G$1),3)</f>
        <v>0</v>
      </c>
      <c r="D21" s="248">
        <f>SUM($B$4:B21)</f>
        <v>136.64199999999997</v>
      </c>
      <c r="E21" s="249"/>
      <c r="F21" s="251"/>
      <c r="J21" s="248">
        <f>SUM($H$4:H20)</f>
        <v>136.638</v>
      </c>
    </row>
    <row r="22" spans="1:10" ht="12.75">
      <c r="A22" s="270" t="str">
        <f>CONCATENATE(LEFT(Анализ!C23,23)," по УФ")</f>
        <v>Расчеты с учредителями  по УФ</v>
      </c>
      <c r="B22" s="271">
        <f>Анализ!F23/'краткая структура'!G1</f>
        <v>0</v>
      </c>
      <c r="C22" s="265">
        <f>ROUND(B22/(Анализ!$F$30/'краткая структура'!$G$1),3)</f>
        <v>0</v>
      </c>
      <c r="D22" s="248">
        <f>SUM($B$4:B22)</f>
        <v>136.64199999999997</v>
      </c>
      <c r="E22" s="249"/>
      <c r="F22" s="251"/>
      <c r="J22" s="248"/>
    </row>
    <row r="23" spans="3:10" ht="12.75">
      <c r="C23" s="249"/>
      <c r="E23" s="249"/>
      <c r="J23" s="248"/>
    </row>
    <row r="37" ht="12.75">
      <c r="H37" s="258"/>
    </row>
    <row r="38" ht="12.75">
      <c r="H38" s="258"/>
    </row>
    <row r="39" ht="12.75">
      <c r="H39" s="258"/>
    </row>
    <row r="40" ht="12.75">
      <c r="H40" s="258"/>
    </row>
    <row r="41" spans="1:8" ht="12.75">
      <c r="A41" s="257"/>
      <c r="B41" s="258"/>
      <c r="H41" s="258"/>
    </row>
    <row r="42" spans="1:8" ht="12.75">
      <c r="A42" s="257"/>
      <c r="B42" s="258"/>
      <c r="H42" s="258"/>
    </row>
    <row r="43" spans="1:8" ht="12.75">
      <c r="A43" s="257"/>
      <c r="B43" s="258"/>
      <c r="H43" s="258"/>
    </row>
    <row r="44" spans="1:8" ht="12.75">
      <c r="A44" s="257"/>
      <c r="B44" s="258"/>
      <c r="H44" s="258"/>
    </row>
    <row r="45" spans="1:8" ht="12.75">
      <c r="A45" s="257"/>
      <c r="B45" s="258"/>
      <c r="H45" s="258"/>
    </row>
    <row r="46" spans="1:8" ht="12.75">
      <c r="A46" s="257"/>
      <c r="B46" s="258"/>
      <c r="H46" s="258"/>
    </row>
    <row r="47" spans="1:8" ht="12.75">
      <c r="A47" s="257"/>
      <c r="B47" s="258"/>
      <c r="H47" s="258"/>
    </row>
    <row r="48" spans="1:8" ht="12.75">
      <c r="A48" s="257"/>
      <c r="B48" s="258"/>
      <c r="H48" s="258"/>
    </row>
    <row r="49" spans="1:8" ht="12.75">
      <c r="A49" s="257"/>
      <c r="B49" s="258"/>
      <c r="H49" s="258"/>
    </row>
    <row r="50" spans="1:8" ht="12.75">
      <c r="A50" s="257"/>
      <c r="B50" s="258"/>
      <c r="H50" s="258"/>
    </row>
    <row r="51" spans="1:8" ht="12.75">
      <c r="A51" s="257"/>
      <c r="B51" s="258"/>
      <c r="H51" s="258"/>
    </row>
    <row r="52" spans="1:8" ht="12.75">
      <c r="A52" s="257"/>
      <c r="B52" s="258"/>
      <c r="H52" s="258"/>
    </row>
    <row r="53" spans="1:8" ht="12.75">
      <c r="A53" s="257"/>
      <c r="B53" s="258"/>
      <c r="H53" s="258"/>
    </row>
    <row r="54" spans="1:8" ht="12.75">
      <c r="A54" s="257"/>
      <c r="B54" s="258"/>
      <c r="H54" s="258"/>
    </row>
    <row r="55" spans="1:8" ht="12.75">
      <c r="A55" s="257"/>
      <c r="B55" s="258"/>
      <c r="H55" s="258"/>
    </row>
    <row r="56" spans="1:8" ht="12.75">
      <c r="A56" s="257"/>
      <c r="B56" s="258"/>
      <c r="H56" s="258"/>
    </row>
    <row r="57" spans="1:8" ht="12.75">
      <c r="A57" s="257"/>
      <c r="B57" s="258"/>
      <c r="H57" s="258"/>
    </row>
    <row r="58" spans="1:8" ht="12.75">
      <c r="A58" s="257"/>
      <c r="B58" s="258"/>
      <c r="H58" s="258"/>
    </row>
    <row r="59" spans="1:8" ht="12.75">
      <c r="A59" s="257"/>
      <c r="B59" s="258"/>
      <c r="H59" s="258"/>
    </row>
    <row r="60" spans="1:8" ht="12.75">
      <c r="A60" s="257"/>
      <c r="B60" s="258"/>
      <c r="H60" s="258"/>
    </row>
    <row r="61" spans="1:8" ht="12.75">
      <c r="A61" s="257"/>
      <c r="B61" s="258"/>
      <c r="H61" s="258"/>
    </row>
    <row r="62" spans="1:8" ht="12.75">
      <c r="A62" s="257"/>
      <c r="B62" s="258"/>
      <c r="H62" s="258"/>
    </row>
    <row r="63" spans="1:8" ht="12.75">
      <c r="A63" s="257"/>
      <c r="B63" s="258"/>
      <c r="H63" s="258"/>
    </row>
    <row r="64" spans="1:8" ht="12.75">
      <c r="A64" s="257"/>
      <c r="B64" s="258"/>
      <c r="H64" s="258"/>
    </row>
    <row r="65" spans="1:8" ht="12.75">
      <c r="A65" s="257"/>
      <c r="B65" s="258"/>
      <c r="H65" s="258"/>
    </row>
    <row r="66" spans="1:8" ht="12.75">
      <c r="A66" s="257"/>
      <c r="B66" s="258"/>
      <c r="H66" s="258"/>
    </row>
    <row r="67" spans="1:8" ht="12.75">
      <c r="A67" s="257"/>
      <c r="B67" s="258"/>
      <c r="H67" s="258"/>
    </row>
    <row r="68" spans="1:8" ht="12.75">
      <c r="A68" s="257"/>
      <c r="B68" s="258"/>
      <c r="H68" s="258"/>
    </row>
    <row r="69" spans="1:8" ht="12.75">
      <c r="A69" s="257"/>
      <c r="B69" s="258"/>
      <c r="H69" s="258"/>
    </row>
    <row r="70" spans="1:8" ht="12.75">
      <c r="A70" s="257"/>
      <c r="B70" s="258"/>
      <c r="H70" s="258"/>
    </row>
    <row r="71" spans="1:8" ht="12.75">
      <c r="A71" s="257"/>
      <c r="B71" s="258"/>
      <c r="H71" s="258"/>
    </row>
    <row r="72" spans="1:8" ht="12.75">
      <c r="A72" s="257"/>
      <c r="B72" s="258"/>
      <c r="H72" s="258"/>
    </row>
    <row r="73" spans="1:8" ht="12.75">
      <c r="A73" s="257"/>
      <c r="B73" s="258"/>
      <c r="H73" s="258"/>
    </row>
    <row r="74" spans="1:8" ht="12.75">
      <c r="A74" s="257"/>
      <c r="B74" s="258"/>
      <c r="H74" s="258"/>
    </row>
    <row r="75" spans="1:8" ht="12.75">
      <c r="A75" s="257"/>
      <c r="B75" s="258"/>
      <c r="H75" s="258"/>
    </row>
    <row r="76" spans="1:8" ht="12.75">
      <c r="A76" s="257"/>
      <c r="B76" s="258"/>
      <c r="H76" s="258"/>
    </row>
    <row r="77" spans="1:8" ht="12.75">
      <c r="A77" s="257"/>
      <c r="B77" s="258"/>
      <c r="H77" s="258"/>
    </row>
    <row r="78" spans="1:8" ht="12.75">
      <c r="A78" s="257"/>
      <c r="B78" s="258"/>
      <c r="H78" s="258"/>
    </row>
    <row r="79" spans="1:8" ht="12.75">
      <c r="A79" s="257"/>
      <c r="B79" s="258"/>
      <c r="H79" s="258"/>
    </row>
    <row r="80" spans="1:8" ht="12.75">
      <c r="A80" s="257"/>
      <c r="B80" s="258"/>
      <c r="H80" s="258"/>
    </row>
    <row r="81" spans="1:8" ht="12.75">
      <c r="A81" s="257"/>
      <c r="B81" s="258"/>
      <c r="H81" s="258"/>
    </row>
    <row r="82" spans="1:8" ht="12.75">
      <c r="A82" s="257"/>
      <c r="B82" s="258"/>
      <c r="H82" s="258"/>
    </row>
    <row r="83" spans="1:8" ht="12.75">
      <c r="A83" s="257"/>
      <c r="B83" s="258"/>
      <c r="H83" s="258"/>
    </row>
    <row r="84" spans="1:8" ht="12.75">
      <c r="A84" s="257"/>
      <c r="B84" s="258"/>
      <c r="H84" s="258"/>
    </row>
    <row r="85" spans="1:8" ht="12.75">
      <c r="A85" s="257"/>
      <c r="B85" s="258"/>
      <c r="H85" s="258"/>
    </row>
    <row r="86" spans="1:8" ht="12.75">
      <c r="A86" s="257"/>
      <c r="B86" s="258"/>
      <c r="H86" s="258"/>
    </row>
    <row r="87" spans="1:8" ht="12.75">
      <c r="A87" s="257"/>
      <c r="B87" s="258"/>
      <c r="H87" s="258"/>
    </row>
    <row r="88" spans="1:8" ht="12.75">
      <c r="A88" s="257"/>
      <c r="B88" s="258"/>
      <c r="H88" s="258"/>
    </row>
    <row r="89" spans="1:8" ht="12.75">
      <c r="A89" s="257"/>
      <c r="B89" s="258"/>
      <c r="H89" s="258"/>
    </row>
    <row r="90" spans="1:8" ht="12.75">
      <c r="A90" s="257"/>
      <c r="B90" s="258"/>
      <c r="H90" s="258"/>
    </row>
    <row r="91" spans="1:8" ht="12.75">
      <c r="A91" s="257"/>
      <c r="B91" s="258"/>
      <c r="H91" s="258"/>
    </row>
    <row r="92" spans="1:8" ht="12.75">
      <c r="A92" s="257"/>
      <c r="B92" s="258"/>
      <c r="H92" s="258"/>
    </row>
    <row r="93" spans="1:8" ht="12.75">
      <c r="A93" s="257"/>
      <c r="B93" s="258"/>
      <c r="H93" s="258"/>
    </row>
    <row r="94" spans="1:8" ht="12.75">
      <c r="A94" s="257"/>
      <c r="B94" s="258"/>
      <c r="H94" s="258"/>
    </row>
    <row r="95" spans="1:8" ht="12.75">
      <c r="A95" s="257"/>
      <c r="B95" s="258"/>
      <c r="H95" s="258"/>
    </row>
    <row r="96" spans="1:8" ht="12.75">
      <c r="A96" s="257"/>
      <c r="B96" s="258"/>
      <c r="H96" s="258"/>
    </row>
    <row r="97" spans="1:8" ht="12.75">
      <c r="A97" s="257"/>
      <c r="B97" s="258"/>
      <c r="H97" s="258"/>
    </row>
    <row r="98" spans="1:8" ht="12.75">
      <c r="A98" s="257"/>
      <c r="B98" s="258"/>
      <c r="H98" s="258"/>
    </row>
    <row r="99" spans="1:8" ht="12.75">
      <c r="A99" s="257"/>
      <c r="B99" s="258"/>
      <c r="H99" s="258"/>
    </row>
    <row r="100" spans="1:8" ht="12.75">
      <c r="A100" s="257"/>
      <c r="B100" s="258"/>
      <c r="H100" s="258"/>
    </row>
    <row r="101" spans="1:8" ht="12.75">
      <c r="A101" s="257"/>
      <c r="B101" s="258"/>
      <c r="H101" s="258"/>
    </row>
    <row r="102" spans="1:8" ht="12.75">
      <c r="A102" s="257"/>
      <c r="B102" s="258"/>
      <c r="H102" s="258"/>
    </row>
    <row r="103" spans="1:8" ht="12.75">
      <c r="A103" s="257"/>
      <c r="B103" s="258"/>
      <c r="H103" s="258"/>
    </row>
    <row r="104" spans="1:8" ht="12.75">
      <c r="A104" s="257"/>
      <c r="B104" s="258"/>
      <c r="H104" s="258"/>
    </row>
    <row r="105" spans="1:8" ht="12.75">
      <c r="A105" s="257"/>
      <c r="B105" s="258"/>
      <c r="H105" s="258"/>
    </row>
    <row r="106" spans="1:8" ht="12.75">
      <c r="A106" s="257"/>
      <c r="B106" s="258"/>
      <c r="H106" s="258"/>
    </row>
    <row r="107" spans="1:8" ht="12.75">
      <c r="A107" s="257"/>
      <c r="B107" s="258"/>
      <c r="H107" s="258"/>
    </row>
    <row r="108" spans="1:8" ht="12.75">
      <c r="A108" s="257"/>
      <c r="B108" s="258"/>
      <c r="H108" s="258"/>
    </row>
    <row r="109" spans="1:8" ht="12.75">
      <c r="A109" s="257"/>
      <c r="B109" s="258"/>
      <c r="H109" s="258"/>
    </row>
    <row r="110" spans="1:8" ht="12.75">
      <c r="A110" s="257"/>
      <c r="B110" s="258"/>
      <c r="H110" s="258"/>
    </row>
    <row r="111" spans="1:8" ht="12.75">
      <c r="A111" s="257"/>
      <c r="B111" s="258"/>
      <c r="H111" s="258"/>
    </row>
    <row r="112" spans="1:8" ht="12.75">
      <c r="A112" s="257"/>
      <c r="B112" s="258"/>
      <c r="H112" s="258"/>
    </row>
    <row r="113" spans="1:8" ht="12.75">
      <c r="A113" s="257"/>
      <c r="B113" s="258"/>
      <c r="H113" s="258"/>
    </row>
    <row r="114" spans="1:8" ht="12.75">
      <c r="A114" s="257"/>
      <c r="B114" s="258"/>
      <c r="H114" s="258"/>
    </row>
    <row r="115" spans="1:8" ht="12.75">
      <c r="A115" s="257"/>
      <c r="B115" s="258"/>
      <c r="H115" s="258"/>
    </row>
    <row r="116" spans="1:8" ht="12.75">
      <c r="A116" s="257"/>
      <c r="B116" s="258"/>
      <c r="H116" s="258"/>
    </row>
    <row r="117" spans="1:8" ht="12.75">
      <c r="A117" s="257"/>
      <c r="B117" s="258"/>
      <c r="H117" s="258"/>
    </row>
    <row r="118" spans="1:8" ht="12.75">
      <c r="A118" s="257"/>
      <c r="B118" s="258"/>
      <c r="H118" s="258"/>
    </row>
    <row r="119" spans="1:8" ht="12.75">
      <c r="A119" s="257"/>
      <c r="B119" s="258"/>
      <c r="H119" s="258"/>
    </row>
    <row r="120" spans="1:8" ht="12.75">
      <c r="A120" s="257"/>
      <c r="B120" s="258"/>
      <c r="H120" s="258"/>
    </row>
    <row r="121" spans="1:8" ht="12.75">
      <c r="A121" s="257"/>
      <c r="B121" s="258"/>
      <c r="H121" s="258"/>
    </row>
    <row r="122" spans="1:8" ht="12.75">
      <c r="A122" s="257"/>
      <c r="B122" s="258"/>
      <c r="H122" s="258"/>
    </row>
    <row r="123" spans="1:8" ht="12.75">
      <c r="A123" s="257"/>
      <c r="B123" s="258"/>
      <c r="H123" s="258"/>
    </row>
    <row r="124" spans="1:8" ht="12.75">
      <c r="A124" s="257"/>
      <c r="B124" s="258"/>
      <c r="H124" s="258"/>
    </row>
    <row r="125" spans="1:8" ht="12.75">
      <c r="A125" s="257"/>
      <c r="B125" s="258"/>
      <c r="H125" s="258"/>
    </row>
    <row r="126" spans="1:8" ht="12.75">
      <c r="A126" s="257"/>
      <c r="B126" s="258"/>
      <c r="H126" s="258"/>
    </row>
    <row r="127" spans="1:8" ht="12.75">
      <c r="A127" s="257"/>
      <c r="B127" s="258"/>
      <c r="H127" s="258"/>
    </row>
    <row r="128" spans="1:8" ht="12.75">
      <c r="A128" s="257"/>
      <c r="B128" s="258"/>
      <c r="H128" s="258"/>
    </row>
    <row r="129" spans="1:8" ht="12.75">
      <c r="A129" s="257"/>
      <c r="B129" s="258"/>
      <c r="H129" s="258"/>
    </row>
    <row r="130" spans="1:8" ht="12.75">
      <c r="A130" s="257"/>
      <c r="B130" s="258"/>
      <c r="H130" s="258"/>
    </row>
    <row r="131" spans="1:8" ht="12.75">
      <c r="A131" s="257"/>
      <c r="B131" s="258"/>
      <c r="H131" s="258"/>
    </row>
    <row r="132" spans="1:8" ht="12.75">
      <c r="A132" s="257"/>
      <c r="B132" s="258"/>
      <c r="H132" s="258"/>
    </row>
    <row r="133" spans="1:8" ht="12.75">
      <c r="A133" s="257"/>
      <c r="B133" s="258"/>
      <c r="H133" s="258"/>
    </row>
    <row r="134" spans="1:8" ht="12.75">
      <c r="A134" s="257"/>
      <c r="B134" s="258"/>
      <c r="H134" s="258"/>
    </row>
    <row r="135" spans="1:8" ht="12.75">
      <c r="A135" s="257"/>
      <c r="B135" s="258"/>
      <c r="H135" s="258"/>
    </row>
    <row r="136" spans="1:8" ht="12.75">
      <c r="A136" s="257"/>
      <c r="B136" s="258"/>
      <c r="H136" s="258"/>
    </row>
    <row r="137" spans="1:8" ht="12.75">
      <c r="A137" s="257"/>
      <c r="B137" s="258"/>
      <c r="H137" s="258"/>
    </row>
    <row r="138" spans="1:8" ht="12.75">
      <c r="A138" s="257"/>
      <c r="B138" s="258"/>
      <c r="H138" s="258"/>
    </row>
    <row r="139" spans="1:8" ht="12.75">
      <c r="A139" s="257"/>
      <c r="B139" s="258"/>
      <c r="H139" s="258"/>
    </row>
    <row r="140" spans="1:8" ht="12.75">
      <c r="A140" s="257"/>
      <c r="B140" s="258"/>
      <c r="H140" s="258"/>
    </row>
    <row r="141" spans="1:8" ht="12.75">
      <c r="A141" s="257"/>
      <c r="B141" s="258"/>
      <c r="H141" s="258"/>
    </row>
    <row r="142" spans="1:8" ht="12.75">
      <c r="A142" s="257"/>
      <c r="B142" s="258"/>
      <c r="H142" s="258"/>
    </row>
    <row r="143" spans="1:8" ht="12.75">
      <c r="A143" s="257"/>
      <c r="B143" s="258"/>
      <c r="H143" s="258"/>
    </row>
    <row r="144" spans="1:8" ht="12.75">
      <c r="A144" s="257"/>
      <c r="B144" s="258"/>
      <c r="H144" s="258"/>
    </row>
    <row r="145" spans="1:8" ht="12.75">
      <c r="A145" s="257"/>
      <c r="B145" s="258"/>
      <c r="H145" s="258"/>
    </row>
    <row r="146" spans="1:8" ht="12.75">
      <c r="A146" s="257"/>
      <c r="B146" s="258"/>
      <c r="H146" s="258"/>
    </row>
    <row r="147" spans="1:8" ht="12.75">
      <c r="A147" s="257"/>
      <c r="B147" s="258"/>
      <c r="H147" s="258"/>
    </row>
    <row r="148" spans="1:8" ht="12.75">
      <c r="A148" s="257"/>
      <c r="B148" s="258"/>
      <c r="H148" s="258"/>
    </row>
    <row r="149" spans="1:8" ht="12.75">
      <c r="A149" s="257"/>
      <c r="B149" s="258"/>
      <c r="H149" s="258"/>
    </row>
    <row r="150" spans="1:8" ht="12.75">
      <c r="A150" s="257"/>
      <c r="B150" s="258"/>
      <c r="H150" s="258"/>
    </row>
    <row r="151" spans="1:8" ht="12.75">
      <c r="A151" s="257"/>
      <c r="B151" s="258"/>
      <c r="H151" s="258"/>
    </row>
    <row r="152" spans="1:8" ht="12.75">
      <c r="A152" s="257"/>
      <c r="B152" s="258"/>
      <c r="H152" s="258"/>
    </row>
    <row r="153" spans="1:8" ht="12.75">
      <c r="A153" s="257"/>
      <c r="B153" s="258"/>
      <c r="H153" s="258"/>
    </row>
    <row r="154" spans="1:8" ht="12.75">
      <c r="A154" s="257"/>
      <c r="B154" s="258"/>
      <c r="H154" s="258"/>
    </row>
    <row r="155" spans="1:8" ht="12.75">
      <c r="A155" s="257"/>
      <c r="B155" s="258"/>
      <c r="H155" s="258"/>
    </row>
    <row r="156" spans="1:8" ht="12.75">
      <c r="A156" s="257"/>
      <c r="B156" s="258"/>
      <c r="H156" s="258"/>
    </row>
    <row r="157" spans="1:8" ht="12.75">
      <c r="A157" s="257"/>
      <c r="B157" s="258"/>
      <c r="H157" s="258"/>
    </row>
    <row r="158" spans="1:8" ht="12.75">
      <c r="A158" s="257"/>
      <c r="B158" s="258"/>
      <c r="H158" s="258"/>
    </row>
    <row r="159" spans="1:8" ht="12.75">
      <c r="A159" s="257"/>
      <c r="B159" s="258"/>
      <c r="H159" s="258"/>
    </row>
    <row r="160" spans="1:8" ht="12.75">
      <c r="A160" s="257"/>
      <c r="B160" s="258"/>
      <c r="H160" s="258"/>
    </row>
    <row r="161" spans="1:8" ht="12.75">
      <c r="A161" s="257"/>
      <c r="B161" s="258"/>
      <c r="H161" s="258"/>
    </row>
    <row r="162" spans="1:8" ht="12.75">
      <c r="A162" s="257"/>
      <c r="B162" s="258"/>
      <c r="H162" s="258"/>
    </row>
    <row r="163" spans="1:8" ht="12.75">
      <c r="A163" s="257"/>
      <c r="B163" s="258"/>
      <c r="H163" s="258"/>
    </row>
    <row r="164" spans="1:8" ht="12.75">
      <c r="A164" s="257"/>
      <c r="B164" s="258"/>
      <c r="H164" s="258"/>
    </row>
    <row r="165" spans="1:8" ht="12.75">
      <c r="A165" s="257"/>
      <c r="B165" s="258"/>
      <c r="H165" s="258"/>
    </row>
    <row r="166" spans="1:8" ht="12.75">
      <c r="A166" s="257"/>
      <c r="B166" s="258"/>
      <c r="H166" s="258"/>
    </row>
    <row r="167" spans="1:8" ht="12.75">
      <c r="A167" s="257"/>
      <c r="B167" s="258"/>
      <c r="H167" s="258"/>
    </row>
    <row r="168" spans="1:8" ht="12.75">
      <c r="A168" s="257"/>
      <c r="B168" s="258"/>
      <c r="H168" s="258"/>
    </row>
    <row r="169" spans="1:8" ht="12.75">
      <c r="A169" s="257"/>
      <c r="B169" s="258"/>
      <c r="H169" s="258"/>
    </row>
    <row r="170" spans="1:8" ht="12.75">
      <c r="A170" s="257"/>
      <c r="B170" s="258"/>
      <c r="H170" s="258"/>
    </row>
    <row r="171" spans="1:8" ht="12.75">
      <c r="A171" s="257"/>
      <c r="B171" s="258"/>
      <c r="H171" s="258"/>
    </row>
    <row r="172" spans="1:8" ht="12.75">
      <c r="A172" s="257"/>
      <c r="B172" s="258"/>
      <c r="H172" s="258"/>
    </row>
    <row r="173" spans="1:8" ht="12.75">
      <c r="A173" s="257"/>
      <c r="B173" s="258"/>
      <c r="H173" s="258"/>
    </row>
    <row r="174" spans="1:8" ht="12.75">
      <c r="A174" s="257"/>
      <c r="B174" s="258"/>
      <c r="H174" s="258"/>
    </row>
    <row r="175" spans="1:8" ht="12.75">
      <c r="A175" s="257"/>
      <c r="B175" s="258"/>
      <c r="H175" s="258"/>
    </row>
    <row r="176" spans="1:8" ht="12.75">
      <c r="A176" s="257"/>
      <c r="B176" s="258"/>
      <c r="H176" s="258"/>
    </row>
    <row r="177" spans="1:8" ht="12.75">
      <c r="A177" s="257"/>
      <c r="B177" s="258"/>
      <c r="H177" s="258"/>
    </row>
    <row r="178" spans="1:8" ht="12.75">
      <c r="A178" s="257"/>
      <c r="B178" s="258"/>
      <c r="H178" s="258"/>
    </row>
    <row r="179" spans="1:8" ht="12.75">
      <c r="A179" s="257"/>
      <c r="B179" s="258"/>
      <c r="H179" s="258"/>
    </row>
    <row r="180" spans="1:8" ht="12.75">
      <c r="A180" s="257"/>
      <c r="B180" s="258"/>
      <c r="H180" s="258"/>
    </row>
    <row r="181" spans="1:8" ht="12.75">
      <c r="A181" s="257"/>
      <c r="B181" s="258"/>
      <c r="H181" s="258"/>
    </row>
    <row r="182" spans="1:8" ht="12.75">
      <c r="A182" s="257"/>
      <c r="B182" s="258"/>
      <c r="H182" s="258"/>
    </row>
    <row r="183" spans="1:8" ht="12.75">
      <c r="A183" s="257"/>
      <c r="B183" s="258"/>
      <c r="H183" s="258"/>
    </row>
    <row r="184" spans="1:8" ht="12.75">
      <c r="A184" s="257"/>
      <c r="B184" s="258"/>
      <c r="H184" s="258"/>
    </row>
    <row r="185" spans="1:8" ht="12.75">
      <c r="A185" s="257"/>
      <c r="B185" s="258"/>
      <c r="H185" s="258"/>
    </row>
    <row r="186" spans="1:8" ht="12.75">
      <c r="A186" s="257"/>
      <c r="B186" s="258"/>
      <c r="H186" s="258"/>
    </row>
    <row r="187" spans="1:8" ht="12.75">
      <c r="A187" s="257"/>
      <c r="B187" s="258"/>
      <c r="H187" s="258"/>
    </row>
    <row r="188" spans="1:8" ht="12.75">
      <c r="A188" s="257"/>
      <c r="B188" s="258"/>
      <c r="H188" s="258"/>
    </row>
    <row r="189" spans="1:8" ht="12.75">
      <c r="A189" s="257"/>
      <c r="B189" s="258"/>
      <c r="H189" s="258"/>
    </row>
    <row r="190" spans="1:8" ht="12.75">
      <c r="A190" s="257"/>
      <c r="B190" s="258"/>
      <c r="H190" s="258"/>
    </row>
    <row r="191" spans="1:8" ht="12.75">
      <c r="A191" s="257"/>
      <c r="B191" s="258"/>
      <c r="H191" s="258"/>
    </row>
    <row r="192" spans="1:8" ht="12.75">
      <c r="A192" s="257"/>
      <c r="B192" s="258"/>
      <c r="H192" s="258"/>
    </row>
    <row r="193" spans="1:8" ht="12.75">
      <c r="A193" s="257"/>
      <c r="B193" s="258"/>
      <c r="H193" s="258"/>
    </row>
    <row r="194" spans="1:8" ht="12.75">
      <c r="A194" s="257"/>
      <c r="B194" s="258"/>
      <c r="H194" s="258"/>
    </row>
    <row r="195" spans="1:8" ht="12.75">
      <c r="A195" s="257"/>
      <c r="B195" s="258"/>
      <c r="H195" s="258"/>
    </row>
    <row r="196" spans="1:8" ht="12.75">
      <c r="A196" s="257"/>
      <c r="B196" s="258"/>
      <c r="H196" s="258"/>
    </row>
    <row r="197" spans="1:8" ht="12.75">
      <c r="A197" s="257"/>
      <c r="B197" s="258"/>
      <c r="H197" s="258"/>
    </row>
    <row r="198" spans="1:8" ht="12.75">
      <c r="A198" s="257"/>
      <c r="B198" s="258"/>
      <c r="H198" s="258"/>
    </row>
    <row r="199" spans="1:8" ht="12.75">
      <c r="A199" s="257"/>
      <c r="B199" s="258"/>
      <c r="H199" s="258"/>
    </row>
    <row r="200" spans="1:8" ht="12.75">
      <c r="A200" s="257"/>
      <c r="B200" s="258"/>
      <c r="H200" s="258"/>
    </row>
    <row r="201" spans="1:8" ht="12.75">
      <c r="A201" s="257"/>
      <c r="B201" s="258"/>
      <c r="H201" s="258"/>
    </row>
    <row r="202" spans="1:8" ht="12.75">
      <c r="A202" s="257"/>
      <c r="B202" s="258"/>
      <c r="H202" s="258"/>
    </row>
    <row r="203" spans="1:8" ht="12.75">
      <c r="A203" s="257"/>
      <c r="B203" s="258"/>
      <c r="H203" s="258"/>
    </row>
    <row r="204" spans="1:8" ht="12.75">
      <c r="A204" s="257"/>
      <c r="B204" s="258"/>
      <c r="H204" s="258"/>
    </row>
    <row r="205" spans="1:8" ht="12.75">
      <c r="A205" s="257"/>
      <c r="B205" s="258"/>
      <c r="H205" s="258"/>
    </row>
    <row r="206" spans="1:8" ht="12.75">
      <c r="A206" s="257"/>
      <c r="B206" s="258"/>
      <c r="H206" s="258"/>
    </row>
    <row r="207" spans="1:8" ht="12.75">
      <c r="A207" s="257"/>
      <c r="B207" s="258"/>
      <c r="H207" s="258"/>
    </row>
    <row r="208" spans="1:8" ht="12.75">
      <c r="A208" s="257"/>
      <c r="B208" s="258"/>
      <c r="H208" s="258"/>
    </row>
    <row r="209" spans="1:8" ht="12.75">
      <c r="A209" s="257"/>
      <c r="B209" s="258"/>
      <c r="H209" s="258"/>
    </row>
    <row r="210" spans="1:8" ht="12.75">
      <c r="A210" s="257"/>
      <c r="B210" s="258"/>
      <c r="H210" s="258"/>
    </row>
    <row r="211" spans="1:8" ht="12.75">
      <c r="A211" s="257"/>
      <c r="B211" s="258"/>
      <c r="H211" s="258"/>
    </row>
    <row r="212" spans="1:8" ht="12.75">
      <c r="A212" s="257"/>
      <c r="B212" s="258"/>
      <c r="H212" s="258"/>
    </row>
    <row r="213" spans="1:8" ht="12.75">
      <c r="A213" s="257"/>
      <c r="B213" s="258"/>
      <c r="H213" s="258"/>
    </row>
    <row r="214" spans="1:8" ht="12.75">
      <c r="A214" s="257"/>
      <c r="B214" s="258"/>
      <c r="H214" s="258"/>
    </row>
    <row r="215" spans="1:8" ht="12.75">
      <c r="A215" s="257"/>
      <c r="B215" s="258"/>
      <c r="H215" s="258"/>
    </row>
    <row r="216" spans="1:8" ht="12.75">
      <c r="A216" s="257"/>
      <c r="B216" s="258"/>
      <c r="H216" s="258"/>
    </row>
    <row r="217" spans="1:8" ht="12.75">
      <c r="A217" s="257"/>
      <c r="B217" s="258"/>
      <c r="H217" s="258"/>
    </row>
    <row r="218" spans="1:8" ht="12.75">
      <c r="A218" s="257"/>
      <c r="B218" s="258"/>
      <c r="H218" s="258"/>
    </row>
    <row r="219" spans="1:8" ht="12.75">
      <c r="A219" s="257"/>
      <c r="B219" s="258"/>
      <c r="H219" s="258"/>
    </row>
    <row r="220" spans="1:8" ht="12.75">
      <c r="A220" s="257"/>
      <c r="B220" s="258"/>
      <c r="H220" s="258"/>
    </row>
    <row r="221" spans="1:8" ht="12.75">
      <c r="A221" s="257"/>
      <c r="B221" s="258"/>
      <c r="H221" s="258"/>
    </row>
    <row r="222" spans="1:8" ht="12.75">
      <c r="A222" s="257"/>
      <c r="B222" s="258"/>
      <c r="H222" s="258"/>
    </row>
    <row r="223" spans="1:8" ht="12.75">
      <c r="A223" s="257"/>
      <c r="B223" s="258"/>
      <c r="H223" s="258"/>
    </row>
    <row r="224" spans="1:8" ht="12.75">
      <c r="A224" s="257"/>
      <c r="B224" s="258"/>
      <c r="H224" s="258"/>
    </row>
    <row r="225" spans="1:8" ht="12.75">
      <c r="A225" s="257"/>
      <c r="B225" s="258"/>
      <c r="H225" s="258"/>
    </row>
    <row r="226" spans="1:8" ht="12.75">
      <c r="A226" s="257"/>
      <c r="B226" s="258"/>
      <c r="H226" s="258"/>
    </row>
    <row r="227" spans="1:8" ht="12.75">
      <c r="A227" s="257"/>
      <c r="B227" s="258"/>
      <c r="H227" s="258"/>
    </row>
    <row r="228" spans="1:8" ht="12.75">
      <c r="A228" s="257"/>
      <c r="B228" s="258"/>
      <c r="H228" s="258"/>
    </row>
    <row r="229" spans="1:8" ht="12.75">
      <c r="A229" s="257"/>
      <c r="B229" s="258"/>
      <c r="H229" s="258"/>
    </row>
    <row r="230" spans="1:8" ht="12.75">
      <c r="A230" s="257"/>
      <c r="B230" s="258"/>
      <c r="H230" s="258"/>
    </row>
    <row r="231" spans="1:8" ht="12.75">
      <c r="A231" s="257"/>
      <c r="B231" s="258"/>
      <c r="H231" s="258"/>
    </row>
    <row r="232" spans="1:8" ht="12.75">
      <c r="A232" s="257"/>
      <c r="B232" s="258"/>
      <c r="H232" s="258"/>
    </row>
    <row r="233" spans="1:8" ht="12.75">
      <c r="A233" s="257"/>
      <c r="B233" s="258"/>
      <c r="H233" s="258"/>
    </row>
    <row r="234" spans="1:8" ht="12.75">
      <c r="A234" s="257"/>
      <c r="B234" s="258"/>
      <c r="H234" s="258"/>
    </row>
    <row r="235" spans="1:8" ht="12.75">
      <c r="A235" s="257"/>
      <c r="B235" s="258"/>
      <c r="H235" s="258"/>
    </row>
    <row r="236" spans="1:8" ht="12.75">
      <c r="A236" s="257"/>
      <c r="B236" s="258"/>
      <c r="H236" s="258"/>
    </row>
    <row r="237" spans="1:8" ht="12.75">
      <c r="A237" s="257"/>
      <c r="B237" s="258"/>
      <c r="H237" s="258"/>
    </row>
    <row r="238" spans="1:8" ht="12.75">
      <c r="A238" s="257"/>
      <c r="B238" s="258"/>
      <c r="H238" s="258"/>
    </row>
    <row r="239" spans="1:8" ht="12.75">
      <c r="A239" s="257"/>
      <c r="B239" s="258"/>
      <c r="H239" s="258"/>
    </row>
    <row r="240" spans="1:8" ht="12.75">
      <c r="A240" s="257"/>
      <c r="B240" s="258"/>
      <c r="H240" s="258"/>
    </row>
    <row r="241" spans="1:8" ht="12.75">
      <c r="A241" s="257"/>
      <c r="B241" s="258"/>
      <c r="H241" s="258"/>
    </row>
    <row r="242" spans="1:8" ht="12.75">
      <c r="A242" s="257"/>
      <c r="B242" s="258"/>
      <c r="H242" s="258"/>
    </row>
    <row r="243" spans="1:8" ht="12.75">
      <c r="A243" s="257"/>
      <c r="B243" s="258"/>
      <c r="H243" s="258"/>
    </row>
    <row r="244" spans="1:8" ht="12.75">
      <c r="A244" s="257"/>
      <c r="B244" s="258"/>
      <c r="H244" s="258"/>
    </row>
    <row r="245" spans="1:8" ht="12.75">
      <c r="A245" s="257"/>
      <c r="B245" s="258"/>
      <c r="H245" s="258"/>
    </row>
    <row r="246" spans="1:8" ht="12.75">
      <c r="A246" s="257"/>
      <c r="B246" s="258"/>
      <c r="H246" s="258"/>
    </row>
    <row r="247" spans="1:8" ht="12.75">
      <c r="A247" s="257"/>
      <c r="B247" s="258"/>
      <c r="H247" s="258"/>
    </row>
    <row r="248" spans="1:8" ht="12.75">
      <c r="A248" s="257"/>
      <c r="B248" s="258"/>
      <c r="H248" s="258"/>
    </row>
    <row r="249" spans="1:8" ht="12.75">
      <c r="A249" s="257"/>
      <c r="B249" s="258"/>
      <c r="H249" s="258"/>
    </row>
    <row r="250" spans="1:8" ht="12.75">
      <c r="A250" s="257"/>
      <c r="B250" s="258"/>
      <c r="H250" s="258"/>
    </row>
    <row r="251" spans="1:8" ht="12.75">
      <c r="A251" s="257"/>
      <c r="B251" s="258"/>
      <c r="H251" s="258"/>
    </row>
    <row r="252" spans="1:8" ht="12.75">
      <c r="A252" s="257"/>
      <c r="B252" s="258"/>
      <c r="H252" s="258"/>
    </row>
    <row r="253" spans="1:8" ht="12.75">
      <c r="A253" s="257"/>
      <c r="B253" s="258"/>
      <c r="H253" s="258"/>
    </row>
    <row r="254" spans="1:8" ht="12.75">
      <c r="A254" s="257"/>
      <c r="B254" s="258"/>
      <c r="H254" s="258"/>
    </row>
    <row r="255" spans="1:8" ht="12.75">
      <c r="A255" s="257"/>
      <c r="B255" s="258"/>
      <c r="H255" s="258"/>
    </row>
    <row r="256" spans="1:8" ht="12.75">
      <c r="A256" s="257"/>
      <c r="B256" s="258"/>
      <c r="H256" s="258"/>
    </row>
    <row r="257" spans="1:8" ht="12.75">
      <c r="A257" s="257"/>
      <c r="B257" s="258"/>
      <c r="H257" s="258"/>
    </row>
    <row r="258" spans="1:8" ht="12.75">
      <c r="A258" s="257"/>
      <c r="B258" s="258"/>
      <c r="H258" s="258"/>
    </row>
    <row r="259" spans="1:8" ht="12.75">
      <c r="A259" s="257"/>
      <c r="B259" s="258"/>
      <c r="H259" s="258"/>
    </row>
    <row r="260" spans="1:8" ht="12.75">
      <c r="A260" s="257"/>
      <c r="B260" s="258"/>
      <c r="H260" s="258"/>
    </row>
    <row r="261" spans="1:8" ht="12.75">
      <c r="A261" s="257"/>
      <c r="B261" s="258"/>
      <c r="H261" s="258"/>
    </row>
    <row r="262" spans="1:8" ht="12.75">
      <c r="A262" s="257"/>
      <c r="B262" s="258"/>
      <c r="H262" s="258"/>
    </row>
    <row r="263" spans="1:8" ht="12.75">
      <c r="A263" s="257"/>
      <c r="B263" s="258"/>
      <c r="H263" s="258"/>
    </row>
    <row r="264" spans="1:8" ht="12.75">
      <c r="A264" s="257"/>
      <c r="B264" s="258"/>
      <c r="H264" s="258"/>
    </row>
    <row r="265" spans="1:8" ht="12.75">
      <c r="A265" s="257"/>
      <c r="B265" s="258"/>
      <c r="H265" s="258"/>
    </row>
    <row r="266" spans="1:8" ht="12.75">
      <c r="A266" s="257"/>
      <c r="B266" s="258"/>
      <c r="H266" s="258"/>
    </row>
    <row r="267" spans="1:8" ht="12.75">
      <c r="A267" s="257"/>
      <c r="B267" s="258"/>
      <c r="H267" s="258"/>
    </row>
    <row r="268" spans="1:8" ht="12.75">
      <c r="A268" s="257"/>
      <c r="B268" s="258"/>
      <c r="H268" s="258"/>
    </row>
    <row r="269" spans="1:8" ht="12.75">
      <c r="A269" s="257"/>
      <c r="B269" s="258"/>
      <c r="H269" s="258"/>
    </row>
    <row r="270" spans="1:8" ht="12.75">
      <c r="A270" s="257"/>
      <c r="B270" s="258"/>
      <c r="H270" s="258"/>
    </row>
    <row r="271" spans="1:8" ht="12.75">
      <c r="A271" s="257"/>
      <c r="B271" s="258"/>
      <c r="H271" s="258"/>
    </row>
    <row r="272" spans="1:8" ht="12.75">
      <c r="A272" s="257"/>
      <c r="B272" s="258"/>
      <c r="H272" s="258"/>
    </row>
    <row r="273" spans="1:8" ht="12.75">
      <c r="A273" s="257"/>
      <c r="B273" s="258"/>
      <c r="H273" s="258"/>
    </row>
    <row r="274" spans="1:8" ht="12.75">
      <c r="A274" s="257"/>
      <c r="B274" s="258"/>
      <c r="H274" s="258"/>
    </row>
    <row r="275" spans="1:8" ht="12.75">
      <c r="A275" s="257"/>
      <c r="B275" s="258"/>
      <c r="H275" s="258"/>
    </row>
    <row r="276" spans="1:8" ht="12.75">
      <c r="A276" s="257"/>
      <c r="B276" s="258"/>
      <c r="H276" s="258"/>
    </row>
    <row r="277" spans="1:8" ht="12.75">
      <c r="A277" s="257"/>
      <c r="B277" s="258"/>
      <c r="H277" s="258"/>
    </row>
    <row r="278" spans="1:8" ht="12.75">
      <c r="A278" s="257"/>
      <c r="B278" s="258"/>
      <c r="H278" s="258"/>
    </row>
    <row r="279" spans="1:8" ht="12.75">
      <c r="A279" s="257"/>
      <c r="B279" s="258"/>
      <c r="H279" s="258"/>
    </row>
    <row r="280" spans="1:8" ht="12.75">
      <c r="A280" s="257"/>
      <c r="B280" s="258"/>
      <c r="H280" s="258"/>
    </row>
    <row r="281" spans="1:8" ht="12.75">
      <c r="A281" s="257"/>
      <c r="B281" s="258"/>
      <c r="H281" s="258"/>
    </row>
    <row r="282" spans="1:8" ht="12.75">
      <c r="A282" s="257"/>
      <c r="B282" s="258"/>
      <c r="H282" s="258"/>
    </row>
    <row r="283" spans="1:8" ht="12.75">
      <c r="A283" s="257"/>
      <c r="B283" s="258"/>
      <c r="H283" s="258"/>
    </row>
    <row r="284" spans="1:8" ht="12.75">
      <c r="A284" s="257"/>
      <c r="B284" s="258"/>
      <c r="H284" s="258"/>
    </row>
    <row r="285" spans="1:8" ht="12.75">
      <c r="A285" s="257"/>
      <c r="B285" s="258"/>
      <c r="H285" s="258"/>
    </row>
    <row r="286" spans="1:8" ht="12.75">
      <c r="A286" s="257"/>
      <c r="B286" s="258"/>
      <c r="H286" s="258"/>
    </row>
    <row r="287" spans="1:8" ht="12.75">
      <c r="A287" s="257"/>
      <c r="B287" s="258"/>
      <c r="H287" s="258"/>
    </row>
    <row r="288" spans="1:8" ht="12.75">
      <c r="A288" s="257"/>
      <c r="B288" s="258"/>
      <c r="H288" s="258"/>
    </row>
    <row r="289" spans="1:8" ht="12.75">
      <c r="A289" s="257"/>
      <c r="B289" s="258"/>
      <c r="H289" s="258"/>
    </row>
    <row r="290" spans="1:8" ht="12.75">
      <c r="A290" s="257"/>
      <c r="B290" s="258"/>
      <c r="H290" s="258"/>
    </row>
    <row r="291" spans="1:8" ht="12.75">
      <c r="A291" s="257"/>
      <c r="B291" s="258"/>
      <c r="H291" s="258"/>
    </row>
    <row r="292" spans="1:8" ht="12.75">
      <c r="A292" s="257"/>
      <c r="B292" s="258"/>
      <c r="H292" s="258"/>
    </row>
    <row r="293" spans="1:8" ht="12.75">
      <c r="A293" s="257"/>
      <c r="B293" s="258"/>
      <c r="H293" s="258"/>
    </row>
    <row r="294" spans="1:8" ht="12.75">
      <c r="A294" s="257"/>
      <c r="B294" s="258"/>
      <c r="H294" s="258"/>
    </row>
    <row r="295" spans="1:8" ht="12.75">
      <c r="A295" s="257"/>
      <c r="B295" s="258"/>
      <c r="H295" s="258"/>
    </row>
    <row r="296" spans="1:8" ht="12.75">
      <c r="A296" s="257"/>
      <c r="B296" s="258"/>
      <c r="H296" s="258"/>
    </row>
    <row r="297" spans="1:8" ht="12.75">
      <c r="A297" s="257"/>
      <c r="B297" s="258"/>
      <c r="H297" s="258"/>
    </row>
    <row r="298" spans="1:8" ht="12.75">
      <c r="A298" s="257"/>
      <c r="B298" s="258"/>
      <c r="H298" s="258"/>
    </row>
    <row r="299" spans="1:8" ht="12.75">
      <c r="A299" s="257"/>
      <c r="B299" s="258"/>
      <c r="H299" s="258"/>
    </row>
    <row r="300" spans="1:8" ht="12.75">
      <c r="A300" s="257"/>
      <c r="B300" s="258"/>
      <c r="H300" s="258"/>
    </row>
    <row r="301" spans="1:8" ht="12.75">
      <c r="A301" s="257"/>
      <c r="B301" s="258"/>
      <c r="H301" s="258"/>
    </row>
    <row r="302" spans="1:8" ht="12.75">
      <c r="A302" s="257"/>
      <c r="B302" s="258"/>
      <c r="H302" s="258"/>
    </row>
    <row r="303" spans="1:8" ht="12.75">
      <c r="A303" s="257"/>
      <c r="B303" s="258"/>
      <c r="H303" s="258"/>
    </row>
    <row r="304" spans="1:8" ht="12.75">
      <c r="A304" s="257"/>
      <c r="B304" s="258"/>
      <c r="H304" s="258"/>
    </row>
    <row r="305" spans="1:8" ht="12.75">
      <c r="A305" s="257"/>
      <c r="B305" s="258"/>
      <c r="H305" s="258"/>
    </row>
    <row r="306" spans="1:8" ht="12.75">
      <c r="A306" s="257"/>
      <c r="B306" s="258"/>
      <c r="H306" s="258"/>
    </row>
    <row r="307" spans="1:8" ht="12.75">
      <c r="A307" s="257"/>
      <c r="B307" s="258"/>
      <c r="H307" s="258"/>
    </row>
    <row r="308" spans="1:8" ht="12.75">
      <c r="A308" s="257"/>
      <c r="B308" s="258"/>
      <c r="H308" s="258"/>
    </row>
    <row r="309" spans="1:8" ht="12.75">
      <c r="A309" s="257"/>
      <c r="B309" s="258"/>
      <c r="H309" s="258"/>
    </row>
    <row r="310" spans="1:8" ht="12.75">
      <c r="A310" s="257"/>
      <c r="B310" s="258"/>
      <c r="H310" s="258"/>
    </row>
    <row r="311" spans="1:8" ht="12.75">
      <c r="A311" s="257"/>
      <c r="B311" s="258"/>
      <c r="H311" s="258"/>
    </row>
    <row r="312" spans="1:8" ht="12.75">
      <c r="A312" s="257"/>
      <c r="B312" s="258"/>
      <c r="H312" s="258"/>
    </row>
    <row r="313" spans="1:8" ht="12.75">
      <c r="A313" s="257"/>
      <c r="B313" s="258"/>
      <c r="H313" s="258"/>
    </row>
    <row r="314" spans="1:8" ht="12.75">
      <c r="A314" s="257"/>
      <c r="B314" s="258"/>
      <c r="H314" s="258"/>
    </row>
    <row r="315" spans="1:8" ht="12.75">
      <c r="A315" s="257"/>
      <c r="B315" s="258"/>
      <c r="H315" s="258"/>
    </row>
    <row r="316" spans="1:8" ht="12.75">
      <c r="A316" s="257"/>
      <c r="B316" s="258"/>
      <c r="H316" s="258"/>
    </row>
    <row r="317" spans="1:8" ht="12.75">
      <c r="A317" s="257"/>
      <c r="B317" s="258"/>
      <c r="H317" s="258"/>
    </row>
    <row r="318" spans="1:8" ht="12.75">
      <c r="A318" s="257"/>
      <c r="B318" s="258"/>
      <c r="H318" s="258"/>
    </row>
    <row r="319" spans="1:8" ht="12.75">
      <c r="A319" s="257"/>
      <c r="B319" s="258"/>
      <c r="H319" s="258"/>
    </row>
    <row r="320" spans="1:8" ht="12.75">
      <c r="A320" s="257"/>
      <c r="B320" s="258"/>
      <c r="H320" s="258"/>
    </row>
    <row r="321" spans="1:8" ht="12.75">
      <c r="A321" s="257"/>
      <c r="B321" s="258"/>
      <c r="H321" s="258"/>
    </row>
    <row r="322" spans="1:8" ht="12.75">
      <c r="A322" s="257"/>
      <c r="B322" s="258"/>
      <c r="H322" s="258"/>
    </row>
    <row r="323" spans="1:8" ht="12.75">
      <c r="A323" s="257"/>
      <c r="B323" s="258"/>
      <c r="H323" s="258"/>
    </row>
    <row r="324" spans="1:8" ht="12.75">
      <c r="A324" s="257"/>
      <c r="B324" s="258"/>
      <c r="H324" s="258"/>
    </row>
    <row r="325" spans="1:8" ht="12.75">
      <c r="A325" s="257"/>
      <c r="B325" s="258"/>
      <c r="H325" s="258"/>
    </row>
    <row r="326" spans="1:8" ht="12.75">
      <c r="A326" s="257"/>
      <c r="B326" s="258"/>
      <c r="H326" s="258"/>
    </row>
    <row r="327" spans="1:8" ht="12.75">
      <c r="A327" s="257"/>
      <c r="B327" s="258"/>
      <c r="H327" s="258"/>
    </row>
    <row r="328" spans="1:8" ht="12.75">
      <c r="A328" s="257"/>
      <c r="B328" s="258"/>
      <c r="H328" s="258"/>
    </row>
    <row r="329" spans="1:8" ht="12.75">
      <c r="A329" s="257"/>
      <c r="B329" s="258"/>
      <c r="H329" s="258"/>
    </row>
    <row r="330" spans="1:8" ht="12.75">
      <c r="A330" s="257"/>
      <c r="B330" s="258"/>
      <c r="H330" s="258"/>
    </row>
    <row r="331" spans="1:8" ht="12.75">
      <c r="A331" s="257"/>
      <c r="B331" s="258"/>
      <c r="H331" s="258"/>
    </row>
    <row r="332" spans="1:8" ht="12.75">
      <c r="A332" s="257"/>
      <c r="B332" s="258"/>
      <c r="H332" s="258"/>
    </row>
    <row r="333" spans="1:8" ht="12.75">
      <c r="A333" s="257"/>
      <c r="B333" s="258"/>
      <c r="H333" s="258"/>
    </row>
    <row r="334" spans="1:8" ht="12.75">
      <c r="A334" s="257"/>
      <c r="B334" s="258"/>
      <c r="H334" s="258"/>
    </row>
    <row r="335" spans="1:8" ht="12.75">
      <c r="A335" s="257"/>
      <c r="B335" s="258"/>
      <c r="H335" s="258"/>
    </row>
    <row r="336" spans="1:8" ht="12.75">
      <c r="A336" s="257"/>
      <c r="B336" s="258"/>
      <c r="H336" s="258"/>
    </row>
    <row r="337" spans="1:8" ht="12.75">
      <c r="A337" s="257"/>
      <c r="B337" s="258"/>
      <c r="H337" s="258"/>
    </row>
    <row r="338" spans="1:8" ht="12.75">
      <c r="A338" s="257"/>
      <c r="B338" s="258"/>
      <c r="H338" s="258"/>
    </row>
    <row r="339" spans="1:8" ht="12.75">
      <c r="A339" s="257"/>
      <c r="B339" s="258"/>
      <c r="H339" s="258"/>
    </row>
    <row r="340" spans="1:8" ht="12.75">
      <c r="A340" s="257"/>
      <c r="B340" s="258"/>
      <c r="H340" s="258"/>
    </row>
    <row r="341" spans="1:8" ht="12.75">
      <c r="A341" s="257"/>
      <c r="B341" s="258"/>
      <c r="H341" s="258"/>
    </row>
    <row r="342" spans="1:8" ht="12.75">
      <c r="A342" s="257"/>
      <c r="B342" s="258"/>
      <c r="H342" s="258"/>
    </row>
    <row r="343" spans="1:8" ht="12.75">
      <c r="A343" s="257"/>
      <c r="B343" s="258"/>
      <c r="H343" s="258"/>
    </row>
    <row r="344" spans="1:8" ht="12.75">
      <c r="A344" s="257"/>
      <c r="B344" s="258"/>
      <c r="H344" s="258"/>
    </row>
    <row r="345" spans="1:8" ht="12.75">
      <c r="A345" s="257"/>
      <c r="B345" s="258"/>
      <c r="H345" s="258"/>
    </row>
    <row r="346" spans="1:8" ht="12.75">
      <c r="A346" s="257"/>
      <c r="B346" s="258"/>
      <c r="H346" s="258"/>
    </row>
    <row r="347" spans="1:8" ht="12.75">
      <c r="A347" s="257"/>
      <c r="B347" s="258"/>
      <c r="H347" s="258"/>
    </row>
    <row r="348" spans="1:8" ht="12.75">
      <c r="A348" s="257"/>
      <c r="B348" s="258"/>
      <c r="H348" s="258"/>
    </row>
    <row r="349" spans="1:8" ht="12.75">
      <c r="A349" s="257"/>
      <c r="B349" s="258"/>
      <c r="H349" s="258"/>
    </row>
    <row r="350" spans="1:8" ht="12.75">
      <c r="A350" s="257"/>
      <c r="B350" s="258"/>
      <c r="H350" s="258"/>
    </row>
    <row r="351" spans="1:8" ht="12.75">
      <c r="A351" s="257"/>
      <c r="B351" s="258"/>
      <c r="H351" s="258"/>
    </row>
    <row r="352" spans="1:8" ht="12.75">
      <c r="A352" s="257"/>
      <c r="B352" s="258"/>
      <c r="H352" s="258"/>
    </row>
    <row r="353" spans="1:8" ht="12.75">
      <c r="A353" s="257"/>
      <c r="B353" s="258"/>
      <c r="H353" s="258"/>
    </row>
    <row r="354" spans="1:8" ht="12.75">
      <c r="A354" s="257"/>
      <c r="B354" s="258"/>
      <c r="H354" s="258"/>
    </row>
    <row r="355" spans="1:8" ht="12.75">
      <c r="A355" s="257"/>
      <c r="B355" s="258"/>
      <c r="H355" s="258"/>
    </row>
    <row r="356" spans="1:8" ht="12.75">
      <c r="A356" s="257"/>
      <c r="B356" s="258"/>
      <c r="H356" s="258"/>
    </row>
    <row r="357" spans="1:8" ht="12.75">
      <c r="A357" s="257"/>
      <c r="B357" s="258"/>
      <c r="H357" s="258"/>
    </row>
    <row r="358" spans="1:8" ht="12.75">
      <c r="A358" s="257"/>
      <c r="B358" s="258"/>
      <c r="H358" s="258"/>
    </row>
    <row r="359" spans="1:8" ht="12.75">
      <c r="A359" s="257"/>
      <c r="B359" s="258"/>
      <c r="H359" s="258"/>
    </row>
    <row r="360" spans="1:8" ht="12.75">
      <c r="A360" s="257"/>
      <c r="B360" s="258"/>
      <c r="H360" s="258"/>
    </row>
    <row r="361" spans="1:8" ht="12.75">
      <c r="A361" s="257"/>
      <c r="B361" s="258"/>
      <c r="H361" s="258"/>
    </row>
    <row r="362" spans="1:8" ht="12.75">
      <c r="A362" s="257"/>
      <c r="B362" s="258"/>
      <c r="H362" s="258"/>
    </row>
    <row r="363" spans="1:8" ht="12.75">
      <c r="A363" s="257"/>
      <c r="B363" s="258"/>
      <c r="H363" s="258"/>
    </row>
    <row r="364" spans="1:8" ht="12.75">
      <c r="A364" s="257"/>
      <c r="B364" s="258"/>
      <c r="H364" s="258"/>
    </row>
    <row r="365" spans="1:8" ht="12.75">
      <c r="A365" s="257"/>
      <c r="B365" s="258"/>
      <c r="H365" s="258"/>
    </row>
    <row r="366" spans="1:8" ht="12.75">
      <c r="A366" s="257"/>
      <c r="B366" s="258"/>
      <c r="H366" s="258"/>
    </row>
    <row r="367" spans="1:8" ht="12.75">
      <c r="A367" s="257"/>
      <c r="B367" s="258"/>
      <c r="H367" s="258"/>
    </row>
    <row r="368" spans="1:8" ht="12.75">
      <c r="A368" s="257"/>
      <c r="B368" s="258"/>
      <c r="H368" s="258"/>
    </row>
    <row r="369" spans="1:8" ht="12.75">
      <c r="A369" s="257"/>
      <c r="B369" s="258"/>
      <c r="H369" s="258"/>
    </row>
    <row r="370" spans="1:8" ht="12.75">
      <c r="A370" s="257"/>
      <c r="B370" s="258"/>
      <c r="H370" s="258"/>
    </row>
    <row r="371" spans="1:8" ht="12.75">
      <c r="A371" s="257"/>
      <c r="B371" s="258"/>
      <c r="H371" s="258"/>
    </row>
    <row r="372" spans="1:8" ht="12.75">
      <c r="A372" s="257"/>
      <c r="B372" s="258"/>
      <c r="H372" s="258"/>
    </row>
    <row r="373" spans="1:8" ht="12.75">
      <c r="A373" s="257"/>
      <c r="B373" s="258"/>
      <c r="H373" s="258"/>
    </row>
    <row r="374" spans="1:8" ht="12.75">
      <c r="A374" s="257"/>
      <c r="B374" s="258"/>
      <c r="H374" s="258"/>
    </row>
    <row r="375" spans="1:8" ht="12.75">
      <c r="A375" s="257"/>
      <c r="B375" s="258"/>
      <c r="H375" s="258"/>
    </row>
    <row r="376" spans="1:8" ht="12.75">
      <c r="A376" s="257"/>
      <c r="B376" s="258"/>
      <c r="H376" s="258"/>
    </row>
    <row r="377" spans="1:8" ht="12.75">
      <c r="A377" s="257"/>
      <c r="B377" s="258"/>
      <c r="H377" s="258"/>
    </row>
    <row r="378" spans="1:8" ht="12.75">
      <c r="A378" s="257"/>
      <c r="B378" s="258"/>
      <c r="H378" s="258"/>
    </row>
    <row r="379" spans="1:8" ht="12.75">
      <c r="A379" s="257"/>
      <c r="B379" s="258"/>
      <c r="H379" s="258"/>
    </row>
    <row r="380" spans="1:8" ht="12.75">
      <c r="A380" s="257"/>
      <c r="B380" s="258"/>
      <c r="H380" s="258"/>
    </row>
    <row r="381" spans="1:8" ht="12.75">
      <c r="A381" s="257"/>
      <c r="B381" s="258"/>
      <c r="H381" s="258"/>
    </row>
    <row r="382" spans="1:8" ht="12.75">
      <c r="A382" s="257"/>
      <c r="B382" s="258"/>
      <c r="H382" s="258"/>
    </row>
    <row r="383" spans="1:8" ht="12.75">
      <c r="A383" s="257"/>
      <c r="B383" s="258"/>
      <c r="H383" s="258"/>
    </row>
    <row r="384" spans="1:8" ht="12.75">
      <c r="A384" s="257"/>
      <c r="B384" s="258"/>
      <c r="H384" s="258"/>
    </row>
    <row r="385" spans="1:8" ht="12.75">
      <c r="A385" s="257"/>
      <c r="B385" s="258"/>
      <c r="H385" s="258"/>
    </row>
    <row r="386" spans="1:8" ht="12.75">
      <c r="A386" s="257"/>
      <c r="B386" s="258"/>
      <c r="H386" s="258"/>
    </row>
    <row r="387" spans="1:8" ht="12.75">
      <c r="A387" s="257"/>
      <c r="B387" s="258"/>
      <c r="H387" s="258"/>
    </row>
    <row r="388" spans="1:8" ht="12.75">
      <c r="A388" s="257"/>
      <c r="B388" s="258"/>
      <c r="H388" s="258"/>
    </row>
    <row r="389" spans="1:8" ht="12.75">
      <c r="A389" s="257"/>
      <c r="B389" s="258"/>
      <c r="H389" s="258"/>
    </row>
    <row r="390" spans="1:8" ht="12.75">
      <c r="A390" s="257"/>
      <c r="B390" s="258"/>
      <c r="H390" s="258"/>
    </row>
    <row r="391" spans="1:8" ht="12.75">
      <c r="A391" s="257"/>
      <c r="B391" s="258"/>
      <c r="H391" s="258"/>
    </row>
    <row r="392" spans="1:8" ht="12.75">
      <c r="A392" s="257"/>
      <c r="B392" s="258"/>
      <c r="H392" s="258"/>
    </row>
    <row r="393" spans="1:8" ht="12.75">
      <c r="A393" s="257"/>
      <c r="B393" s="258"/>
      <c r="H393" s="258"/>
    </row>
    <row r="394" spans="1:8" ht="12.75">
      <c r="A394" s="257"/>
      <c r="B394" s="258"/>
      <c r="H394" s="258"/>
    </row>
    <row r="395" spans="1:8" ht="12.75">
      <c r="A395" s="257"/>
      <c r="B395" s="258"/>
      <c r="H395" s="258"/>
    </row>
    <row r="396" spans="1:8" ht="12.75">
      <c r="A396" s="257"/>
      <c r="B396" s="258"/>
      <c r="H396" s="258"/>
    </row>
    <row r="397" spans="1:8" ht="12.75">
      <c r="A397" s="257"/>
      <c r="B397" s="258"/>
      <c r="H397" s="258"/>
    </row>
    <row r="398" spans="1:8" ht="12.75">
      <c r="A398" s="257"/>
      <c r="B398" s="258"/>
      <c r="H398" s="258"/>
    </row>
    <row r="399" spans="1:8" ht="12.75">
      <c r="A399" s="257"/>
      <c r="B399" s="258"/>
      <c r="H399" s="258"/>
    </row>
    <row r="400" spans="1:8" ht="12.75">
      <c r="A400" s="257"/>
      <c r="B400" s="258"/>
      <c r="H400" s="258"/>
    </row>
    <row r="401" spans="1:8" ht="12.75">
      <c r="A401" s="257"/>
      <c r="B401" s="258"/>
      <c r="H401" s="258"/>
    </row>
    <row r="402" spans="1:8" ht="12.75">
      <c r="A402" s="257"/>
      <c r="B402" s="258"/>
      <c r="H402" s="258"/>
    </row>
    <row r="403" spans="1:8" ht="12.75">
      <c r="A403" s="257"/>
      <c r="B403" s="258"/>
      <c r="H403" s="258"/>
    </row>
    <row r="404" spans="1:8" ht="12.75">
      <c r="A404" s="257"/>
      <c r="B404" s="258"/>
      <c r="H404" s="258"/>
    </row>
    <row r="405" spans="1:8" ht="12.75">
      <c r="A405" s="257"/>
      <c r="B405" s="258"/>
      <c r="H405" s="258"/>
    </row>
    <row r="406" spans="1:8" ht="12.75">
      <c r="A406" s="257"/>
      <c r="B406" s="258"/>
      <c r="H406" s="258"/>
    </row>
    <row r="407" spans="1:8" ht="12.75">
      <c r="A407" s="257"/>
      <c r="B407" s="258"/>
      <c r="H407" s="258"/>
    </row>
    <row r="408" spans="1:8" ht="12.75">
      <c r="A408" s="257"/>
      <c r="B408" s="258"/>
      <c r="H408" s="258"/>
    </row>
    <row r="409" spans="1:8" ht="12.75">
      <c r="A409" s="257"/>
      <c r="B409" s="258"/>
      <c r="H409" s="258"/>
    </row>
    <row r="410" spans="1:8" ht="12.75">
      <c r="A410" s="257"/>
      <c r="B410" s="258"/>
      <c r="H410" s="258"/>
    </row>
    <row r="411" spans="1:8" ht="12.75">
      <c r="A411" s="257"/>
      <c r="B411" s="258"/>
      <c r="H411" s="258"/>
    </row>
    <row r="412" spans="1:8" ht="12.75">
      <c r="A412" s="257"/>
      <c r="B412" s="258"/>
      <c r="H412" s="258"/>
    </row>
    <row r="413" spans="1:8" ht="12.75">
      <c r="A413" s="257"/>
      <c r="B413" s="258"/>
      <c r="H413" s="258"/>
    </row>
    <row r="414" spans="1:8" ht="12.75">
      <c r="A414" s="257"/>
      <c r="B414" s="258"/>
      <c r="H414" s="258"/>
    </row>
    <row r="415" spans="1:8" ht="12.75">
      <c r="A415" s="257"/>
      <c r="B415" s="258"/>
      <c r="H415" s="258"/>
    </row>
    <row r="416" spans="1:8" ht="12.75">
      <c r="A416" s="257"/>
      <c r="B416" s="258"/>
      <c r="H416" s="258"/>
    </row>
    <row r="417" spans="1:8" ht="12.75">
      <c r="A417" s="257"/>
      <c r="B417" s="258"/>
      <c r="H417" s="258"/>
    </row>
    <row r="418" spans="1:8" ht="12.75">
      <c r="A418" s="257"/>
      <c r="B418" s="258"/>
      <c r="H418" s="258"/>
    </row>
    <row r="419" spans="1:8" ht="12.75">
      <c r="A419" s="257"/>
      <c r="B419" s="258"/>
      <c r="H419" s="258"/>
    </row>
    <row r="420" spans="1:8" ht="12.75">
      <c r="A420" s="257"/>
      <c r="B420" s="258"/>
      <c r="H420" s="258"/>
    </row>
    <row r="421" spans="1:8" ht="12.75">
      <c r="A421" s="257"/>
      <c r="B421" s="258"/>
      <c r="H421" s="258"/>
    </row>
    <row r="422" spans="1:8" ht="12.75">
      <c r="A422" s="257"/>
      <c r="B422" s="258"/>
      <c r="H422" s="258"/>
    </row>
    <row r="423" spans="1:8" ht="12.75">
      <c r="A423" s="257"/>
      <c r="B423" s="258"/>
      <c r="H423" s="258"/>
    </row>
    <row r="424" spans="1:8" ht="12.75">
      <c r="A424" s="257"/>
      <c r="B424" s="258"/>
      <c r="H424" s="258"/>
    </row>
    <row r="425" spans="1:8" ht="12.75">
      <c r="A425" s="257"/>
      <c r="B425" s="258"/>
      <c r="H425" s="258"/>
    </row>
    <row r="426" spans="1:8" ht="12.75">
      <c r="A426" s="257"/>
      <c r="B426" s="258"/>
      <c r="H426" s="258"/>
    </row>
    <row r="427" spans="1:8" ht="12.75">
      <c r="A427" s="257"/>
      <c r="B427" s="258"/>
      <c r="H427" s="258"/>
    </row>
    <row r="428" spans="1:8" ht="12.75">
      <c r="A428" s="257"/>
      <c r="B428" s="258"/>
      <c r="H428" s="258"/>
    </row>
    <row r="429" spans="1:8" ht="12.75">
      <c r="A429" s="257"/>
      <c r="B429" s="258"/>
      <c r="H429" s="258"/>
    </row>
    <row r="430" spans="1:8" ht="12.75">
      <c r="A430" s="257"/>
      <c r="B430" s="258"/>
      <c r="H430" s="258"/>
    </row>
    <row r="431" spans="1:8" ht="12.75">
      <c r="A431" s="257"/>
      <c r="B431" s="258"/>
      <c r="H431" s="258"/>
    </row>
    <row r="432" spans="1:8" ht="12.75">
      <c r="A432" s="257"/>
      <c r="B432" s="258"/>
      <c r="H432" s="258"/>
    </row>
    <row r="433" spans="1:8" ht="12.75">
      <c r="A433" s="257"/>
      <c r="B433" s="258"/>
      <c r="H433" s="258"/>
    </row>
    <row r="434" spans="1:8" ht="12.75">
      <c r="A434" s="257"/>
      <c r="B434" s="258"/>
      <c r="H434" s="258"/>
    </row>
    <row r="435" spans="1:8" ht="12.75">
      <c r="A435" s="257"/>
      <c r="B435" s="258"/>
      <c r="H435" s="258"/>
    </row>
    <row r="436" spans="1:8" ht="12.75">
      <c r="A436" s="257"/>
      <c r="B436" s="258"/>
      <c r="H436" s="258"/>
    </row>
    <row r="437" spans="1:8" ht="12.75">
      <c r="A437" s="257"/>
      <c r="B437" s="258"/>
      <c r="H437" s="258"/>
    </row>
    <row r="438" spans="1:8" ht="12.75">
      <c r="A438" s="257"/>
      <c r="B438" s="258"/>
      <c r="H438" s="258"/>
    </row>
    <row r="439" spans="1:8" ht="12.75">
      <c r="A439" s="257"/>
      <c r="B439" s="258"/>
      <c r="H439" s="258"/>
    </row>
    <row r="440" spans="1:8" ht="12.75">
      <c r="A440" s="257"/>
      <c r="B440" s="258"/>
      <c r="H440" s="258"/>
    </row>
    <row r="441" spans="1:8" ht="12.75">
      <c r="A441" s="257"/>
      <c r="B441" s="258"/>
      <c r="H441" s="258"/>
    </row>
    <row r="442" spans="1:8" ht="12.75">
      <c r="A442" s="257"/>
      <c r="B442" s="258"/>
      <c r="H442" s="258"/>
    </row>
    <row r="443" spans="1:8" ht="12.75">
      <c r="A443" s="257"/>
      <c r="B443" s="258"/>
      <c r="H443" s="258"/>
    </row>
    <row r="444" spans="1:8" ht="12.75">
      <c r="A444" s="257"/>
      <c r="B444" s="258"/>
      <c r="H444" s="258"/>
    </row>
    <row r="445" spans="1:8" ht="12.75">
      <c r="A445" s="257"/>
      <c r="B445" s="258"/>
      <c r="H445" s="258"/>
    </row>
    <row r="446" spans="1:8" ht="12.75">
      <c r="A446" s="257"/>
      <c r="B446" s="258"/>
      <c r="H446" s="258"/>
    </row>
    <row r="447" spans="1:8" ht="12.75">
      <c r="A447" s="257"/>
      <c r="B447" s="258"/>
      <c r="H447" s="258"/>
    </row>
    <row r="448" spans="1:8" ht="12.75">
      <c r="A448" s="257"/>
      <c r="B448" s="258"/>
      <c r="H448" s="258"/>
    </row>
    <row r="449" spans="1:8" ht="12.75">
      <c r="A449" s="257"/>
      <c r="B449" s="258"/>
      <c r="H449" s="258"/>
    </row>
    <row r="450" spans="1:8" ht="12.75">
      <c r="A450" s="257"/>
      <c r="B450" s="258"/>
      <c r="H450" s="258"/>
    </row>
    <row r="451" spans="1:8" ht="12.75">
      <c r="A451" s="257"/>
      <c r="B451" s="258"/>
      <c r="H451" s="258"/>
    </row>
    <row r="452" spans="1:8" ht="12.75">
      <c r="A452" s="257"/>
      <c r="B452" s="258"/>
      <c r="H452" s="258"/>
    </row>
    <row r="453" spans="1:8" ht="12.75">
      <c r="A453" s="257"/>
      <c r="B453" s="258"/>
      <c r="H453" s="258"/>
    </row>
    <row r="454" spans="1:8" ht="12.75">
      <c r="A454" s="257"/>
      <c r="B454" s="258"/>
      <c r="H454" s="258"/>
    </row>
    <row r="455" spans="1:8" ht="12.75">
      <c r="A455" s="257"/>
      <c r="B455" s="258"/>
      <c r="H455" s="258"/>
    </row>
    <row r="456" spans="1:8" ht="12.75">
      <c r="A456" s="257"/>
      <c r="B456" s="258"/>
      <c r="H456" s="258"/>
    </row>
    <row r="457" spans="1:8" ht="12.75">
      <c r="A457" s="257"/>
      <c r="B457" s="258"/>
      <c r="H457" s="258"/>
    </row>
    <row r="458" spans="1:8" ht="12.75">
      <c r="A458" s="257"/>
      <c r="B458" s="258"/>
      <c r="H458" s="258"/>
    </row>
    <row r="459" spans="1:8" ht="12.75">
      <c r="A459" s="257"/>
      <c r="B459" s="258"/>
      <c r="H459" s="258"/>
    </row>
    <row r="460" spans="1:8" ht="12.75">
      <c r="A460" s="257"/>
      <c r="B460" s="258"/>
      <c r="H460" s="258"/>
    </row>
    <row r="461" spans="1:8" ht="12.75">
      <c r="A461" s="257"/>
      <c r="B461" s="258"/>
      <c r="H461" s="258"/>
    </row>
    <row r="462" spans="1:8" ht="12.75">
      <c r="A462" s="257"/>
      <c r="B462" s="258"/>
      <c r="H462" s="258"/>
    </row>
    <row r="463" spans="1:8" ht="12.75">
      <c r="A463" s="257"/>
      <c r="B463" s="258"/>
      <c r="H463" s="258"/>
    </row>
    <row r="464" spans="1:8" ht="12.75">
      <c r="A464" s="257"/>
      <c r="B464" s="258"/>
      <c r="H464" s="258"/>
    </row>
    <row r="465" spans="1:8" ht="12.75">
      <c r="A465" s="257"/>
      <c r="B465" s="258"/>
      <c r="H465" s="258"/>
    </row>
    <row r="466" spans="1:8" ht="12.75">
      <c r="A466" s="257"/>
      <c r="B466" s="258"/>
      <c r="H466" s="258"/>
    </row>
    <row r="467" spans="1:8" ht="12.75">
      <c r="A467" s="257"/>
      <c r="B467" s="258"/>
      <c r="H467" s="258"/>
    </row>
    <row r="468" spans="1:8" ht="12.75">
      <c r="A468" s="257"/>
      <c r="B468" s="258"/>
      <c r="H468" s="258"/>
    </row>
    <row r="469" spans="1:8" ht="12.75">
      <c r="A469" s="257"/>
      <c r="B469" s="258"/>
      <c r="H469" s="258"/>
    </row>
    <row r="470" spans="1:8" ht="12.75">
      <c r="A470" s="257"/>
      <c r="B470" s="258"/>
      <c r="H470" s="258"/>
    </row>
    <row r="471" spans="1:8" ht="12.75">
      <c r="A471" s="257"/>
      <c r="B471" s="258"/>
      <c r="H471" s="258"/>
    </row>
    <row r="472" spans="1:8" ht="12.75">
      <c r="A472" s="257"/>
      <c r="B472" s="258"/>
      <c r="H472" s="258"/>
    </row>
    <row r="473" spans="1:8" ht="12.75">
      <c r="A473" s="257"/>
      <c r="B473" s="258"/>
      <c r="H473" s="258"/>
    </row>
    <row r="474" spans="1:8" ht="12.75">
      <c r="A474" s="257"/>
      <c r="B474" s="258"/>
      <c r="H474" s="258"/>
    </row>
    <row r="475" spans="1:8" ht="12.75">
      <c r="A475" s="257"/>
      <c r="B475" s="258"/>
      <c r="H475" s="258"/>
    </row>
    <row r="476" spans="1:8" ht="12.75">
      <c r="A476" s="257"/>
      <c r="B476" s="258"/>
      <c r="H476" s="258"/>
    </row>
    <row r="477" spans="1:8" ht="12.75">
      <c r="A477" s="257"/>
      <c r="B477" s="258"/>
      <c r="H477" s="258"/>
    </row>
    <row r="478" spans="1:8" ht="12.75">
      <c r="A478" s="257"/>
      <c r="B478" s="258"/>
      <c r="H478" s="258"/>
    </row>
    <row r="479" spans="1:8" ht="12.75">
      <c r="A479" s="257"/>
      <c r="B479" s="258"/>
      <c r="H479" s="258"/>
    </row>
    <row r="480" spans="1:8" ht="12.75">
      <c r="A480" s="257"/>
      <c r="B480" s="258"/>
      <c r="H480" s="258"/>
    </row>
    <row r="481" spans="1:8" ht="12.75">
      <c r="A481" s="257"/>
      <c r="B481" s="258"/>
      <c r="H481" s="258"/>
    </row>
    <row r="482" spans="1:8" ht="12.75">
      <c r="A482" s="257"/>
      <c r="B482" s="258"/>
      <c r="H482" s="258"/>
    </row>
    <row r="483" spans="1:8" ht="12.75">
      <c r="A483" s="257"/>
      <c r="B483" s="258"/>
      <c r="H483" s="258"/>
    </row>
    <row r="484" spans="1:8" ht="12.75">
      <c r="A484" s="257"/>
      <c r="B484" s="258"/>
      <c r="H484" s="258"/>
    </row>
    <row r="485" spans="1:8" ht="12.75">
      <c r="A485" s="257"/>
      <c r="B485" s="258"/>
      <c r="H485" s="258"/>
    </row>
    <row r="486" spans="1:8" ht="12.75">
      <c r="A486" s="257"/>
      <c r="B486" s="258"/>
      <c r="H486" s="258"/>
    </row>
    <row r="487" spans="1:8" ht="12.75">
      <c r="A487" s="257"/>
      <c r="B487" s="258"/>
      <c r="H487" s="258"/>
    </row>
    <row r="488" spans="1:8" ht="12.75">
      <c r="A488" s="257"/>
      <c r="B488" s="258"/>
      <c r="H488" s="258"/>
    </row>
    <row r="489" spans="1:8" ht="12.75">
      <c r="A489" s="257"/>
      <c r="B489" s="258"/>
      <c r="H489" s="258"/>
    </row>
    <row r="490" spans="1:8" ht="12.75">
      <c r="A490" s="257"/>
      <c r="B490" s="258"/>
      <c r="H490" s="258"/>
    </row>
    <row r="491" spans="1:8" ht="12.75">
      <c r="A491" s="257"/>
      <c r="B491" s="258"/>
      <c r="H491" s="258"/>
    </row>
    <row r="492" spans="1:8" ht="12.75">
      <c r="A492" s="257"/>
      <c r="B492" s="258"/>
      <c r="H492" s="258"/>
    </row>
    <row r="493" spans="1:8" ht="12.75">
      <c r="A493" s="257"/>
      <c r="B493" s="258"/>
      <c r="H493" s="258"/>
    </row>
    <row r="494" spans="1:8" ht="12.75">
      <c r="A494" s="257"/>
      <c r="B494" s="258"/>
      <c r="H494" s="258"/>
    </row>
    <row r="495" spans="1:8" ht="12.75">
      <c r="A495" s="257"/>
      <c r="B495" s="258"/>
      <c r="H495" s="258"/>
    </row>
    <row r="496" spans="1:8" ht="12.75">
      <c r="A496" s="257"/>
      <c r="B496" s="258"/>
      <c r="H496" s="258"/>
    </row>
    <row r="497" spans="1:8" ht="12.75">
      <c r="A497" s="257"/>
      <c r="B497" s="258"/>
      <c r="H497" s="258"/>
    </row>
    <row r="498" spans="1:8" ht="12.75">
      <c r="A498" s="257"/>
      <c r="B498" s="258"/>
      <c r="H498" s="258"/>
    </row>
    <row r="499" spans="1:8" ht="12.75">
      <c r="A499" s="257"/>
      <c r="B499" s="258"/>
      <c r="H499" s="258"/>
    </row>
    <row r="500" spans="1:8" ht="12.75">
      <c r="A500" s="257"/>
      <c r="B500" s="258"/>
      <c r="H500" s="258"/>
    </row>
    <row r="501" spans="1:8" ht="12.75">
      <c r="A501" s="257"/>
      <c r="B501" s="258"/>
      <c r="H501" s="258"/>
    </row>
    <row r="502" spans="1:8" ht="12.75">
      <c r="A502" s="257"/>
      <c r="B502" s="258"/>
      <c r="H502" s="258"/>
    </row>
    <row r="503" spans="1:8" ht="12.75">
      <c r="A503" s="257"/>
      <c r="B503" s="258"/>
      <c r="H503" s="258"/>
    </row>
    <row r="504" spans="1:8" ht="12.75">
      <c r="A504" s="257"/>
      <c r="B504" s="258"/>
      <c r="H504" s="258"/>
    </row>
    <row r="505" spans="1:8" ht="12.75">
      <c r="A505" s="257"/>
      <c r="B505" s="258"/>
      <c r="H505" s="258"/>
    </row>
    <row r="506" spans="1:8" ht="12.75">
      <c r="A506" s="257"/>
      <c r="B506" s="258"/>
      <c r="H506" s="258"/>
    </row>
    <row r="507" spans="1:8" ht="12.75">
      <c r="A507" s="257"/>
      <c r="B507" s="258"/>
      <c r="H507" s="258"/>
    </row>
    <row r="508" spans="1:8" ht="12.75">
      <c r="A508" s="257"/>
      <c r="B508" s="258"/>
      <c r="H508" s="258"/>
    </row>
    <row r="509" spans="1:8" ht="12.75">
      <c r="A509" s="257"/>
      <c r="B509" s="258"/>
      <c r="H509" s="258"/>
    </row>
    <row r="510" spans="1:8" ht="12.75">
      <c r="A510" s="257"/>
      <c r="B510" s="258"/>
      <c r="H510" s="258"/>
    </row>
    <row r="511" spans="1:8" ht="12.75">
      <c r="A511" s="257"/>
      <c r="B511" s="258"/>
      <c r="H511" s="258"/>
    </row>
    <row r="512" spans="1:8" ht="12.75">
      <c r="A512" s="257"/>
      <c r="B512" s="258"/>
      <c r="H512" s="258"/>
    </row>
    <row r="513" spans="1:8" ht="12.75">
      <c r="A513" s="257"/>
      <c r="B513" s="258"/>
      <c r="H513" s="258"/>
    </row>
    <row r="514" spans="1:8" ht="12.75">
      <c r="A514" s="257"/>
      <c r="B514" s="258"/>
      <c r="H514" s="258"/>
    </row>
    <row r="515" spans="1:8" ht="12.75">
      <c r="A515" s="257"/>
      <c r="B515" s="258"/>
      <c r="H515" s="258"/>
    </row>
    <row r="516" spans="1:8" ht="12.75">
      <c r="A516" s="257"/>
      <c r="B516" s="258"/>
      <c r="H516" s="258"/>
    </row>
    <row r="517" spans="1:8" ht="12.75">
      <c r="A517" s="257"/>
      <c r="B517" s="258"/>
      <c r="H517" s="258"/>
    </row>
    <row r="518" spans="1:8" ht="12.75">
      <c r="A518" s="257"/>
      <c r="B518" s="258"/>
      <c r="H518" s="258"/>
    </row>
    <row r="519" spans="1:8" ht="12.75">
      <c r="A519" s="257"/>
      <c r="B519" s="258"/>
      <c r="H519" s="258"/>
    </row>
    <row r="520" spans="1:8" ht="12.75">
      <c r="A520" s="257"/>
      <c r="B520" s="258"/>
      <c r="H520" s="258"/>
    </row>
    <row r="521" spans="1:8" ht="12.75">
      <c r="A521" s="257"/>
      <c r="B521" s="258"/>
      <c r="H521" s="258"/>
    </row>
    <row r="522" spans="1:8" ht="12.75">
      <c r="A522" s="257"/>
      <c r="B522" s="258"/>
      <c r="H522" s="258"/>
    </row>
    <row r="523" spans="1:8" ht="12.75">
      <c r="A523" s="257"/>
      <c r="B523" s="258"/>
      <c r="H523" s="258"/>
    </row>
    <row r="524" spans="1:8" ht="12.75">
      <c r="A524" s="257"/>
      <c r="B524" s="258"/>
      <c r="H524" s="258"/>
    </row>
    <row r="525" spans="1:8" ht="12.75">
      <c r="A525" s="257"/>
      <c r="B525" s="258"/>
      <c r="H525" s="258"/>
    </row>
    <row r="526" spans="1:8" ht="12.75">
      <c r="A526" s="257"/>
      <c r="B526" s="258"/>
      <c r="H526" s="258"/>
    </row>
    <row r="527" spans="1:8" ht="12.75">
      <c r="A527" s="257"/>
      <c r="B527" s="258"/>
      <c r="H527" s="258"/>
    </row>
    <row r="528" spans="1:8" ht="12.75">
      <c r="A528" s="257"/>
      <c r="B528" s="258"/>
      <c r="H528" s="258"/>
    </row>
    <row r="529" spans="1:8" ht="12.75">
      <c r="A529" s="257"/>
      <c r="B529" s="258"/>
      <c r="H529" s="258"/>
    </row>
    <row r="530" spans="1:2" ht="12.75">
      <c r="A530" s="257"/>
      <c r="B530" s="258"/>
    </row>
    <row r="531" spans="1:2" ht="12.75">
      <c r="A531" s="257"/>
      <c r="B531" s="258"/>
    </row>
    <row r="532" spans="1:2" ht="12.75">
      <c r="A532" s="257"/>
      <c r="B532" s="258"/>
    </row>
    <row r="533" spans="1:2" ht="12.75">
      <c r="A533" s="257"/>
      <c r="B533" s="258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23"/>
  <sheetViews>
    <sheetView showGridLines="0" workbookViewId="0" topLeftCell="A1">
      <selection activeCell="A7" sqref="A7"/>
    </sheetView>
  </sheetViews>
  <sheetFormatPr defaultColWidth="9.00390625" defaultRowHeight="12.75"/>
  <cols>
    <col min="1" max="1" width="65.75390625" style="214" bestFit="1" customWidth="1"/>
    <col min="2" max="3" width="9.125" style="215" customWidth="1"/>
    <col min="4" max="16384" width="9.125" style="214" customWidth="1"/>
  </cols>
  <sheetData>
    <row r="1" spans="1:3" ht="12.75">
      <c r="A1" s="218" t="s">
        <v>123</v>
      </c>
      <c r="B1" s="218" t="s">
        <v>111</v>
      </c>
      <c r="C1" s="218" t="s">
        <v>112</v>
      </c>
    </row>
    <row r="2" spans="1:3" ht="12.75">
      <c r="A2" s="216" t="s">
        <v>119</v>
      </c>
      <c r="B2" s="217">
        <v>1.4</v>
      </c>
      <c r="C2" s="217">
        <v>0.3</v>
      </c>
    </row>
    <row r="3" spans="1:3" ht="12.75">
      <c r="A3" s="216" t="s">
        <v>120</v>
      </c>
      <c r="B3" s="217">
        <v>1.4</v>
      </c>
      <c r="C3" s="217">
        <v>0.2</v>
      </c>
    </row>
    <row r="4" spans="1:3" ht="12.75">
      <c r="A4" s="216" t="s">
        <v>113</v>
      </c>
      <c r="B4" s="217">
        <v>1.3</v>
      </c>
      <c r="C4" s="217">
        <v>0.2</v>
      </c>
    </row>
    <row r="5" spans="1:3" ht="12.75">
      <c r="A5" s="216" t="s">
        <v>114</v>
      </c>
      <c r="B5" s="217">
        <v>1.3</v>
      </c>
      <c r="C5" s="217">
        <v>0.2</v>
      </c>
    </row>
    <row r="6" spans="1:3" ht="12.75">
      <c r="A6" s="216" t="s">
        <v>121</v>
      </c>
      <c r="B6" s="217">
        <v>1.6</v>
      </c>
      <c r="C6" s="217">
        <v>0.1</v>
      </c>
    </row>
    <row r="7" spans="1:3" ht="12.75">
      <c r="A7" s="216" t="s">
        <v>115</v>
      </c>
      <c r="B7" s="217">
        <v>1</v>
      </c>
      <c r="C7" s="217">
        <v>0.05</v>
      </c>
    </row>
    <row r="8" spans="1:3" ht="12.75">
      <c r="A8" s="216" t="s">
        <v>116</v>
      </c>
      <c r="B8" s="217">
        <v>1.2</v>
      </c>
      <c r="C8" s="217">
        <v>0.15</v>
      </c>
    </row>
    <row r="9" spans="1:3" ht="12.75">
      <c r="A9" s="216" t="s">
        <v>117</v>
      </c>
      <c r="B9" s="217">
        <v>1.3</v>
      </c>
      <c r="C9" s="217">
        <v>0.2</v>
      </c>
    </row>
    <row r="10" spans="1:3" ht="12.75">
      <c r="A10" s="216" t="s">
        <v>118</v>
      </c>
      <c r="B10" s="217">
        <v>1.7</v>
      </c>
      <c r="C10" s="217">
        <v>0.3</v>
      </c>
    </row>
    <row r="11" spans="1:3" ht="12.75">
      <c r="A11" s="216" t="s">
        <v>99</v>
      </c>
      <c r="B11" s="217">
        <v>1.5</v>
      </c>
      <c r="C11" s="217">
        <v>0.2</v>
      </c>
    </row>
    <row r="12" spans="1:3" ht="12.75">
      <c r="A12" s="216" t="s">
        <v>100</v>
      </c>
      <c r="B12" s="217">
        <v>1.15</v>
      </c>
      <c r="C12" s="217">
        <v>0.15</v>
      </c>
    </row>
    <row r="13" spans="1:3" ht="12.75">
      <c r="A13" s="216" t="s">
        <v>101</v>
      </c>
      <c r="B13" s="217">
        <v>1</v>
      </c>
      <c r="C13" s="217">
        <v>0.05</v>
      </c>
    </row>
    <row r="14" spans="1:3" ht="12.75">
      <c r="A14" s="216" t="s">
        <v>102</v>
      </c>
      <c r="B14" s="217">
        <v>1.1</v>
      </c>
      <c r="C14" s="217">
        <v>0.15</v>
      </c>
    </row>
    <row r="15" spans="1:3" ht="12.75">
      <c r="A15" s="216" t="s">
        <v>106</v>
      </c>
      <c r="B15" s="217">
        <v>1.1</v>
      </c>
      <c r="C15" s="217">
        <v>0.15</v>
      </c>
    </row>
    <row r="16" spans="1:3" ht="12.75">
      <c r="A16" s="216" t="s">
        <v>103</v>
      </c>
      <c r="B16" s="217">
        <v>1.2</v>
      </c>
      <c r="C16" s="217">
        <v>0.15</v>
      </c>
    </row>
    <row r="17" spans="1:3" ht="12.75">
      <c r="A17" s="216" t="s">
        <v>104</v>
      </c>
      <c r="B17" s="217">
        <v>1</v>
      </c>
      <c r="C17" s="217">
        <v>0.1</v>
      </c>
    </row>
    <row r="18" spans="1:3" ht="12.75">
      <c r="A18" s="216" t="s">
        <v>105</v>
      </c>
      <c r="B18" s="217">
        <v>1.1</v>
      </c>
      <c r="C18" s="217">
        <v>0.15</v>
      </c>
    </row>
    <row r="19" spans="1:3" ht="12.75">
      <c r="A19" s="216" t="s">
        <v>107</v>
      </c>
      <c r="B19" s="217">
        <v>1.01</v>
      </c>
      <c r="C19" s="217">
        <v>0.3</v>
      </c>
    </row>
    <row r="20" spans="1:3" ht="12.75">
      <c r="A20" s="216" t="s">
        <v>122</v>
      </c>
      <c r="B20" s="217">
        <v>1.1</v>
      </c>
      <c r="C20" s="217">
        <v>0.1</v>
      </c>
    </row>
    <row r="21" spans="1:3" ht="12.75">
      <c r="A21" s="216" t="s">
        <v>108</v>
      </c>
      <c r="B21" s="217">
        <v>1.1</v>
      </c>
      <c r="C21" s="217">
        <v>0.1</v>
      </c>
    </row>
    <row r="22" spans="1:3" ht="12.75">
      <c r="A22" s="216" t="s">
        <v>109</v>
      </c>
      <c r="B22" s="217">
        <v>1.15</v>
      </c>
      <c r="C22" s="217">
        <v>0.2</v>
      </c>
    </row>
    <row r="23" spans="1:3" ht="12.75">
      <c r="A23" s="216" t="s">
        <v>110</v>
      </c>
      <c r="B23" s="217">
        <v>1.5</v>
      </c>
      <c r="C23" s="217">
        <v>0.2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Belgazprombank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Belgazprombank</dc:creator>
  <cp:keywords/>
  <dc:description/>
  <cp:lastModifiedBy>bgpb</cp:lastModifiedBy>
  <cp:lastPrinted>2005-04-22T09:45:14Z</cp:lastPrinted>
  <dcterms:created xsi:type="dcterms:W3CDTF">2000-03-01T10:07:33Z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